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F665" i="1" l="1"/>
  <c r="D9" i="13" l="1"/>
  <c r="C39" i="12"/>
  <c r="C38" i="12"/>
  <c r="C37" i="12"/>
  <c r="C21" i="12"/>
  <c r="C20" i="12"/>
  <c r="C19" i="12"/>
  <c r="C12" i="12"/>
  <c r="C11" i="12"/>
  <c r="C10" i="12"/>
  <c r="H255" i="1"/>
  <c r="F472" i="1"/>
  <c r="I359" i="1"/>
  <c r="F296" i="1"/>
  <c r="J468" i="1" l="1"/>
  <c r="F459" i="1"/>
  <c r="G35" i="1"/>
  <c r="H536" i="1"/>
  <c r="H537" i="1"/>
  <c r="H9" i="1"/>
  <c r="H159" i="1" l="1"/>
  <c r="H155" i="1"/>
  <c r="H110" i="1"/>
  <c r="G158" i="1"/>
  <c r="G97" i="1"/>
  <c r="F110" i="1"/>
  <c r="F63" i="1"/>
  <c r="F24" i="1"/>
  <c r="F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C122" i="2" s="1"/>
  <c r="L224" i="1"/>
  <c r="L242" i="1"/>
  <c r="F16" i="13"/>
  <c r="G16" i="13"/>
  <c r="E16" i="13" s="1"/>
  <c r="L209" i="1"/>
  <c r="L227" i="1"/>
  <c r="L245" i="1"/>
  <c r="F5" i="13"/>
  <c r="D5" i="13" s="1"/>
  <c r="C5" i="13" s="1"/>
  <c r="G5" i="13"/>
  <c r="L197" i="1"/>
  <c r="L198" i="1"/>
  <c r="L199" i="1"/>
  <c r="C12" i="10" s="1"/>
  <c r="L200" i="1"/>
  <c r="L215" i="1"/>
  <c r="L216" i="1"/>
  <c r="L217" i="1"/>
  <c r="L218" i="1"/>
  <c r="L233" i="1"/>
  <c r="L234" i="1"/>
  <c r="L235" i="1"/>
  <c r="L247" i="1" s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D14" i="13" s="1"/>
  <c r="C14" i="13" s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6" i="1"/>
  <c r="C11" i="10" s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3" i="10"/>
  <c r="C16" i="10"/>
  <c r="L250" i="1"/>
  <c r="L332" i="1"/>
  <c r="L254" i="1"/>
  <c r="L268" i="1"/>
  <c r="L269" i="1"/>
  <c r="L349" i="1"/>
  <c r="C26" i="10" s="1"/>
  <c r="L350" i="1"/>
  <c r="I665" i="1"/>
  <c r="I670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F552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1" i="2"/>
  <c r="C112" i="2"/>
  <c r="E112" i="2"/>
  <c r="C113" i="2"/>
  <c r="E113" i="2"/>
  <c r="C114" i="2"/>
  <c r="D115" i="2"/>
  <c r="F115" i="2"/>
  <c r="G115" i="2"/>
  <c r="C119" i="2"/>
  <c r="E119" i="2"/>
  <c r="E120" i="2"/>
  <c r="C121" i="2"/>
  <c r="E121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G32" i="1"/>
  <c r="G52" i="1" s="1"/>
  <c r="H618" i="1" s="1"/>
  <c r="H32" i="1"/>
  <c r="I32" i="1"/>
  <c r="H617" i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H338" i="1" s="1"/>
  <c r="H352" i="1" s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H639" i="1" s="1"/>
  <c r="G461" i="1"/>
  <c r="H461" i="1"/>
  <c r="F470" i="1"/>
  <c r="G470" i="1"/>
  <c r="H470" i="1"/>
  <c r="I470" i="1"/>
  <c r="I476" i="1" s="1"/>
  <c r="H625" i="1" s="1"/>
  <c r="J470" i="1"/>
  <c r="F474" i="1"/>
  <c r="F476" i="1" s="1"/>
  <c r="H622" i="1" s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F571" i="1" s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9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H640" i="1"/>
  <c r="G641" i="1"/>
  <c r="J641" i="1" s="1"/>
  <c r="H641" i="1"/>
  <c r="G643" i="1"/>
  <c r="J643" i="1" s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J655" i="1" s="1"/>
  <c r="F192" i="1"/>
  <c r="L328" i="1"/>
  <c r="F78" i="2"/>
  <c r="C78" i="2"/>
  <c r="G161" i="2"/>
  <c r="D91" i="2"/>
  <c r="D29" i="13"/>
  <c r="C29" i="13" s="1"/>
  <c r="D19" i="13"/>
  <c r="C19" i="13" s="1"/>
  <c r="E78" i="2"/>
  <c r="H112" i="1"/>
  <c r="L419" i="1"/>
  <c r="I169" i="1"/>
  <c r="J476" i="1"/>
  <c r="H626" i="1" s="1"/>
  <c r="G338" i="1"/>
  <c r="G352" i="1" s="1"/>
  <c r="J140" i="1"/>
  <c r="G22" i="2"/>
  <c r="H140" i="1"/>
  <c r="F22" i="13"/>
  <c r="C22" i="13" s="1"/>
  <c r="J640" i="1"/>
  <c r="H192" i="1"/>
  <c r="L570" i="1"/>
  <c r="G36" i="2"/>
  <c r="A40" i="12" l="1"/>
  <c r="A13" i="12"/>
  <c r="L256" i="1"/>
  <c r="H476" i="1"/>
  <c r="H624" i="1" s="1"/>
  <c r="J624" i="1" s="1"/>
  <c r="G661" i="1"/>
  <c r="J634" i="1"/>
  <c r="K598" i="1"/>
  <c r="G647" i="1" s="1"/>
  <c r="J651" i="1"/>
  <c r="J645" i="1"/>
  <c r="J644" i="1"/>
  <c r="J639" i="1"/>
  <c r="L544" i="1"/>
  <c r="I545" i="1"/>
  <c r="H545" i="1"/>
  <c r="H552" i="1"/>
  <c r="K551" i="1"/>
  <c r="K545" i="1"/>
  <c r="K550" i="1"/>
  <c r="G545" i="1"/>
  <c r="L524" i="1"/>
  <c r="K549" i="1"/>
  <c r="L362" i="1"/>
  <c r="E110" i="2"/>
  <c r="E118" i="2"/>
  <c r="F338" i="1"/>
  <c r="F352" i="1" s="1"/>
  <c r="L270" i="1"/>
  <c r="C110" i="2"/>
  <c r="H257" i="1"/>
  <c r="H271" i="1" s="1"/>
  <c r="F257" i="1"/>
  <c r="F271" i="1" s="1"/>
  <c r="C18" i="10"/>
  <c r="D7" i="13"/>
  <c r="C7" i="13" s="1"/>
  <c r="J257" i="1"/>
  <c r="J271" i="1" s="1"/>
  <c r="I257" i="1"/>
  <c r="G257" i="1"/>
  <c r="G271" i="1" s="1"/>
  <c r="L229" i="1"/>
  <c r="C123" i="2"/>
  <c r="C20" i="10"/>
  <c r="K257" i="1"/>
  <c r="K271" i="1" s="1"/>
  <c r="L211" i="1"/>
  <c r="F112" i="1"/>
  <c r="E31" i="2"/>
  <c r="D31" i="2"/>
  <c r="D51" i="2" s="1"/>
  <c r="J622" i="1"/>
  <c r="J617" i="1"/>
  <c r="C18" i="2"/>
  <c r="C16" i="13"/>
  <c r="E128" i="2"/>
  <c r="H660" i="1"/>
  <c r="H664" i="1" s="1"/>
  <c r="H672" i="1" s="1"/>
  <c r="C6" i="10" s="1"/>
  <c r="E13" i="13"/>
  <c r="C13" i="13" s="1"/>
  <c r="E8" i="13"/>
  <c r="C8" i="13" s="1"/>
  <c r="L290" i="1"/>
  <c r="K503" i="1"/>
  <c r="L382" i="1"/>
  <c r="G636" i="1" s="1"/>
  <c r="J636" i="1" s="1"/>
  <c r="K352" i="1"/>
  <c r="G81" i="2"/>
  <c r="C62" i="2"/>
  <c r="F661" i="1"/>
  <c r="I661" i="1" s="1"/>
  <c r="C19" i="10"/>
  <c r="C15" i="10"/>
  <c r="G112" i="1"/>
  <c r="D12" i="13"/>
  <c r="C12" i="13" s="1"/>
  <c r="L539" i="1"/>
  <c r="C29" i="10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115" i="2" s="1"/>
  <c r="C56" i="2"/>
  <c r="F662" i="1"/>
  <c r="I662" i="1" s="1"/>
  <c r="C81" i="2"/>
  <c r="I271" i="1"/>
  <c r="C35" i="10"/>
  <c r="C36" i="10" s="1"/>
  <c r="I552" i="1"/>
  <c r="H25" i="13"/>
  <c r="E81" i="2"/>
  <c r="F81" i="2"/>
  <c r="L351" i="1"/>
  <c r="H647" i="1"/>
  <c r="J647" i="1" s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J650" i="1"/>
  <c r="L407" i="1"/>
  <c r="C140" i="2" s="1"/>
  <c r="C141" i="2" s="1"/>
  <c r="C144" i="2" s="1"/>
  <c r="L571" i="1"/>
  <c r="I192" i="1"/>
  <c r="E91" i="2"/>
  <c r="E104" i="2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C27" i="10"/>
  <c r="G635" i="1"/>
  <c r="J635" i="1" s="1"/>
  <c r="G104" i="2" l="1"/>
  <c r="K552" i="1"/>
  <c r="L545" i="1"/>
  <c r="H667" i="1"/>
  <c r="H648" i="1"/>
  <c r="J648" i="1" s="1"/>
  <c r="C128" i="2"/>
  <c r="C145" i="2" s="1"/>
  <c r="L257" i="1"/>
  <c r="L271" i="1" s="1"/>
  <c r="G632" i="1" s="1"/>
  <c r="J632" i="1" s="1"/>
  <c r="F660" i="1"/>
  <c r="L408" i="1"/>
  <c r="C63" i="2"/>
  <c r="C104" i="2" s="1"/>
  <c r="E33" i="13"/>
  <c r="D35" i="13" s="1"/>
  <c r="C25" i="13"/>
  <c r="H33" i="13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F664" i="1" l="1"/>
  <c r="F672" i="1" s="1"/>
  <c r="C4" i="10" s="1"/>
  <c r="G637" i="1"/>
  <c r="J637" i="1" s="1"/>
  <c r="H646" i="1"/>
  <c r="J646" i="1" s="1"/>
  <c r="C41" i="10"/>
  <c r="D38" i="10" s="1"/>
  <c r="F667" i="1" l="1"/>
  <c r="D37" i="10"/>
  <c r="D36" i="10"/>
  <c r="D35" i="10"/>
  <c r="D40" i="10"/>
  <c r="D39" i="10"/>
  <c r="D41" i="10" l="1"/>
  <c r="C10" i="10"/>
  <c r="C28" i="10" s="1"/>
  <c r="I309" i="1"/>
  <c r="I338" i="1"/>
  <c r="I352" i="1" s="1"/>
  <c r="L295" i="1"/>
  <c r="L309" i="1" s="1"/>
  <c r="G660" i="1" l="1"/>
  <c r="L338" i="1"/>
  <c r="L352" i="1" s="1"/>
  <c r="G633" i="1" s="1"/>
  <c r="D31" i="13"/>
  <c r="D27" i="10"/>
  <c r="C30" i="10"/>
  <c r="D24" i="10"/>
  <c r="D26" i="10"/>
  <c r="D15" i="10"/>
  <c r="D16" i="10"/>
  <c r="D25" i="10"/>
  <c r="D13" i="10"/>
  <c r="D22" i="10"/>
  <c r="D21" i="10"/>
  <c r="D17" i="10"/>
  <c r="D20" i="10"/>
  <c r="D12" i="10"/>
  <c r="D23" i="10"/>
  <c r="D19" i="10"/>
  <c r="D11" i="10"/>
  <c r="D18" i="10"/>
  <c r="E109" i="2"/>
  <c r="E115" i="2" s="1"/>
  <c r="E145" i="2" s="1"/>
  <c r="D10" i="10"/>
  <c r="D28" i="10" l="1"/>
  <c r="C31" i="13"/>
  <c r="D33" i="13"/>
  <c r="D36" i="13" s="1"/>
  <c r="J633" i="1"/>
  <c r="H656" i="1"/>
  <c r="G664" i="1"/>
  <c r="I660" i="1"/>
  <c r="I664" i="1" s="1"/>
  <c r="I667" i="1" l="1"/>
  <c r="I672" i="1"/>
  <c r="C7" i="10" s="1"/>
  <c r="G667" i="1"/>
  <c r="G672" i="1"/>
  <c r="C5" i="10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<sst xmlns="http://schemas.openxmlformats.org/spreadsheetml/2006/main" count="3956" uniqueCount="914">
  <si>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</si>
  <si>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</si>
  <si>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</si>
  <si>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</si>
  <si>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</si>
  <si>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</si>
  <si>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</si>
  <si>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</si>
  <si>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</si>
  <si>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</si>
  <si>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</si>
  <si>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</si>
  <si>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</si>
  <si>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</si>
  <si>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</si>
  <si>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</si>
  <si>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</si>
  <si>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</si>
  <si>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</si>
  <si>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</si>
  <si>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</si>
  <si>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</si>
  <si>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</si>
  <si>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</si>
  <si>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</si>
  <si>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</si>
  <si>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</si>
  <si>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</si>
  <si>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</si>
  <si>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</si>
  <si>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</si>
  <si>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</si>
  <si>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</si>
  <si>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</si>
  <si>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</si>
  <si>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</si>
  <si>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</si>
  <si>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</si>
  <si>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</si>
  <si>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</si>
  <si>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</si>
  <si>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</si>
  <si>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</si>
  <si>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</si>
  <si>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</si>
  <si>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</si>
  <si>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</si>
  <si>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</si>
  <si>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</si>
  <si>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</si>
  <si>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</si>
  <si>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</si>
  <si>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</si>
  <si>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</si>
  <si>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</si>
  <si>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</si>
  <si>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</si>
  <si>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</si>
  <si>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</si>
  <si>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</si>
  <si>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</si>
  <si>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</si>
  <si>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</si>
  <si>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</si>
  <si>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</si>
  <si>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</si>
  <si>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</si>
  <si>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</si>
  <si>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</si>
  <si>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</si>
  <si>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</si>
  <si>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</si>
  <si>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</si>
  <si>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</si>
  <si>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</si>
  <si>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</si>
  <si>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</si>
  <si>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</si>
  <si>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</si>
  <si>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</si>
  <si>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</si>
  <si>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</si>
  <si>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</si>
  <si>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</si>
  <si>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</si>
  <si>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</si>
  <si>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</si>
  <si>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</si>
  <si>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</si>
  <si>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</si>
  <si>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</si>
  <si>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</si>
  <si>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</si>
  <si>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</si>
  <si>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</si>
  <si>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</si>
  <si>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</si>
  <si>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</si>
  <si>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</si>
  <si>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</si>
  <si>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</si>
  <si>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</si>
  <si>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</si>
  <si>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</si>
  <si>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</si>
  <si>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</si>
  <si>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</si>
  <si>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</si>
  <si>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</si>
  <si>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</si>
  <si>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</si>
  <si>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</si>
  <si>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</si>
  <si>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</si>
  <si>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</si>
  <si>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</si>
  <si>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</si>
  <si>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</si>
  <si>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</si>
  <si>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</si>
  <si>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</si>
  <si>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</si>
  <si>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</si>
  <si>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</si>
  <si>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</si>
  <si>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</si>
  <si>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</si>
  <si>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</si>
  <si>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</si>
  <si>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</si>
  <si>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</si>
  <si>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</si>
  <si>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</si>
  <si>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</si>
  <si>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</si>
  <si>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</si>
  <si>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</si>
  <si>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</si>
  <si>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</si>
  <si>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</si>
  <si>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</si>
  <si>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</si>
  <si>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</si>
  <si>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</si>
  <si>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</si>
  <si>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</si>
  <si>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</si>
  <si>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</si>
  <si>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</si>
  <si>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</si>
  <si>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</si>
  <si>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</si>
  <si>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</si>
  <si>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</si>
  <si>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</si>
  <si>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</si>
  <si>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</si>
  <si>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</si>
  <si>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</si>
  <si>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</si>
  <si>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</si>
  <si>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</si>
  <si>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</si>
  <si>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</si>
  <si>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</si>
  <si>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</si>
  <si>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</si>
  <si>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</si>
  <si>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</si>
  <si>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</si>
  <si>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</si>
  <si>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</si>
  <si>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</si>
  <si>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</si>
  <si>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</si>
  <si>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</si>
  <si>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</si>
  <si>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</si>
  <si>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</si>
  <si>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</si>
  <si>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</si>
  <si>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</si>
  <si>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</si>
  <si>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</si>
  <si>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</si>
  <si>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</si>
  <si>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</si>
  <si>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</si>
  <si>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</si>
  <si>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</si>
  <si>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</si>
  <si>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</si>
  <si>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</si>
  <si>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</si>
  <si>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</si>
  <si>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</si>
  <si>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</si>
  <si>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</si>
  <si>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</si>
  <si>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</si>
  <si>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</si>
  <si>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</si>
  <si>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</si>
  <si>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</si>
  <si>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</si>
  <si>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</si>
  <si>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</si>
  <si>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</si>
  <si>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</si>
  <si>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</si>
  <si>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</si>
  <si>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</si>
  <si>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</si>
  <si>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</si>
  <si>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</si>
  <si>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</si>
  <si>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</si>
  <si>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</si>
  <si>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</si>
  <si>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</si>
  <si>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</si>
  <si>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</si>
  <si>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</si>
  <si>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</si>
  <si>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</si>
  <si>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</si>
  <si>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</si>
  <si>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</si>
  <si>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</si>
  <si>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</si>
  <si>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</si>
  <si>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</si>
  <si>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</si>
  <si>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</si>
  <si>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</si>
  <si>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</si>
  <si>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</si>
  <si>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</si>
  <si>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</si>
  <si>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</si>
  <si>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</si>
  <si>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</si>
  <si>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</si>
  <si>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</si>
  <si>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</si>
  <si>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</si>
  <si>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</si>
  <si>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</si>
  <si>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</si>
  <si>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</si>
  <si>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</si>
  <si>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</si>
  <si>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</si>
  <si>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</si>
  <si>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</si>
  <si>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</si>
  <si>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</si>
  <si>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</si>
  <si>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</si>
  <si>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</si>
  <si>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</si>
  <si>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</si>
  <si>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</si>
  <si>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</si>
  <si>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</si>
  <si>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</si>
  <si>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</si>
  <si>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</si>
  <si>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</si>
  <si>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</si>
  <si>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</si>
  <si>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</si>
  <si>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</si>
  <si>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</si>
  <si>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</si>
  <si>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</si>
  <si>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</si>
  <si>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</si>
  <si>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</si>
  <si>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</si>
  <si>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</si>
  <si>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</si>
  <si>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</si>
  <si>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</si>
  <si>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</si>
  <si>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</si>
  <si>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</si>
  <si>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</si>
  <si>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</si>
  <si>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</si>
  <si>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</si>
  <si>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</si>
  <si>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</si>
  <si>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</si>
  <si>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</si>
  <si>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</si>
  <si>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</si>
  <si>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</si>
  <si>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</si>
  <si>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</si>
  <si>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</si>
  <si>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</si>
  <si>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</si>
  <si>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</si>
  <si>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</si>
  <si>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</si>
  <si>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</si>
  <si>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</si>
  <si>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</si>
  <si>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</si>
  <si>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</si>
  <si>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</si>
  <si>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</si>
  <si>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</si>
  <si>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</si>
  <si>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</si>
  <si>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</si>
  <si>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</si>
  <si>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</si>
  <si>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</si>
  <si>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</si>
  <si>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</si>
  <si>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</si>
  <si>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</si>
  <si>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</si>
  <si>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</si>
  <si>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</si>
  <si>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</si>
  <si>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</si>
  <si>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</si>
  <si>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</si>
  <si>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</si>
  <si>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</si>
  <si>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</si>
  <si>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</si>
  <si>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</si>
  <si>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</si>
  <si>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</si>
  <si>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</si>
  <si>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</si>
  <si>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</si>
  <si>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</si>
  <si>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</si>
  <si>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</si>
  <si>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</si>
  <si>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</si>
  <si>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</si>
  <si>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</si>
  <si>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</si>
  <si>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</si>
  <si>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</si>
  <si>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</si>
  <si>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</si>
  <si>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</si>
  <si>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</si>
  <si>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</si>
  <si>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</si>
  <si>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</si>
  <si>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</si>
  <si>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</si>
  <si>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</si>
  <si>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</si>
  <si>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</si>
  <si>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</si>
  <si>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</si>
  <si>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</si>
  <si>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</si>
  <si>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</si>
  <si>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</si>
  <si>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</si>
  <si>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</si>
  <si>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</si>
  <si>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</si>
  <si>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</si>
  <si>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</si>
  <si>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</si>
  <si>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</si>
  <si>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</si>
  <si>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</si>
  <si>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</si>
  <si>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</si>
  <si>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</si>
  <si>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</si>
  <si>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</si>
  <si>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</si>
  <si>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</si>
  <si>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</si>
  <si>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</si>
  <si>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</si>
  <si>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</si>
  <si>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</si>
  <si>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</si>
  <si>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</si>
  <si>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</si>
  <si>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</si>
  <si>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</si>
  <si>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</si>
  <si>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</si>
  <si>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</si>
  <si>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</si>
  <si>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</si>
  <si>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</si>
  <si>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</si>
  <si>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</si>
  <si>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</si>
  <si>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</si>
  <si>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</si>
  <si>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</si>
  <si>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</si>
  <si>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</si>
  <si>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</si>
  <si>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</si>
  <si>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</si>
  <si>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</si>
  <si>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</si>
  <si>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</si>
  <si>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</si>
  <si>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</si>
  <si>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</si>
  <si>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</si>
  <si>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</si>
  <si>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</si>
  <si>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</si>
  <si>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</si>
  <si>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</si>
  <si>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</si>
  <si>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</si>
  <si>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</si>
  <si>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</si>
  <si>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</si>
  <si>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</si>
  <si>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</si>
  <si>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</si>
  <si>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</si>
  <si>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</si>
  <si>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</si>
  <si>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</si>
  <si>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</si>
  <si>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</si>
  <si>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</si>
  <si>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</si>
  <si>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</si>
  <si>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</si>
  <si>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</si>
  <si>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</si>
  <si>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</si>
  <si>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</si>
  <si>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</si>
  <si>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</si>
  <si>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</si>
  <si>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</si>
  <si>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</si>
  <si>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</si>
  <si>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</si>
  <si>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</si>
  <si>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</si>
  <si>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</si>
  <si>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</si>
  <si>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</si>
  <si>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</si>
  <si>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</si>
  <si>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</si>
  <si>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</si>
  <si>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</si>
  <si>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</si>
  <si>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</si>
  <si>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</si>
  <si>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</si>
  <si>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</si>
  <si>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</si>
  <si>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</si>
  <si>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</si>
  <si>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</si>
  <si>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</si>
  <si>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</si>
  <si>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</si>
  <si>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</si>
  <si>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</si>
  <si>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</si>
  <si>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</si>
  <si>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</si>
  <si>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</si>
  <si>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</si>
  <si>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</si>
  <si>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</si>
  <si>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</si>
  <si>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</si>
  <si>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</si>
  <si>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</si>
  <si>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</si>
  <si>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</si>
  <si>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</si>
  <si>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</si>
  <si>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</si>
  <si>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</si>
  <si>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</si>
  <si>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</si>
  <si>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</si>
  <si>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</si>
  <si>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</si>
  <si>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</si>
  <si>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</si>
  <si>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</si>
  <si>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</si>
  <si>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</si>
  <si>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</si>
  <si>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</si>
  <si>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</si>
  <si>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</si>
  <si>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</si>
  <si>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</si>
  <si>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</si>
  <si>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</si>
  <si>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</si>
  <si>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</si>
  <si>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</si>
  <si>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</si>
  <si>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</si>
  <si>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</si>
  <si>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</si>
  <si>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</si>
  <si>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</si>
  <si>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</si>
  <si>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</si>
  <si>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</si>
  <si>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</si>
  <si>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</si>
  <si>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</si>
  <si>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</si>
  <si>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</si>
  <si>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</si>
  <si>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</si>
  <si>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</si>
  <si>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</si>
  <si>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</si>
  <si>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</si>
  <si>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</si>
  <si>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</si>
  <si>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</si>
  <si>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</si>
  <si>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</si>
  <si>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</si>
  <si>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</si>
  <si>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</si>
  <si>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</si>
  <si>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</si>
  <si>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</si>
  <si>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</si>
  <si>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</si>
  <si>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</si>
  <si>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</si>
  <si>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</si>
  <si>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</si>
  <si>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</si>
  <si>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</si>
  <si>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</si>
  <si>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</si>
  <si>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</si>
  <si>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</si>
  <si>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</si>
  <si>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</si>
  <si>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</si>
  <si>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</si>
  <si>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</si>
  <si>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</si>
  <si>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</si>
  <si>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</si>
  <si>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</si>
  <si>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</si>
  <si>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</si>
  <si>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</si>
  <si>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</si>
  <si>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</si>
  <si>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</si>
  <si>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</si>
  <si>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</si>
  <si>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</si>
  <si>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</si>
  <si>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</si>
  <si>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</si>
  <si>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</si>
  <si>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</si>
  <si>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</si>
  <si>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</si>
  <si>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</si>
  <si>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</si>
  <si>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</si>
  <si>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</si>
  <si>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</si>
  <si>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</si>
  <si>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</si>
  <si>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</si>
  <si>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</si>
  <si>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</si>
  <si>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</si>
  <si>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</si>
  <si>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</si>
  <si>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</si>
  <si>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</si>
  <si>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</si>
  <si>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</si>
  <si>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</si>
  <si>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</si>
  <si>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</si>
  <si>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</si>
  <si>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</si>
  <si>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</si>
  <si>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</si>
  <si>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</si>
  <si>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</si>
  <si>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</si>
  <si>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</si>
  <si>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</si>
  <si>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</si>
  <si>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</si>
  <si>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</si>
  <si>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</si>
  <si>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</si>
  <si>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</si>
  <si>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</si>
  <si>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</si>
  <si>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</si>
  <si>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</si>
  <si>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</si>
  <si>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</si>
  <si>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</si>
  <si>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</si>
  <si>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</si>
  <si>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</si>
  <si>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</si>
  <si>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</si>
  <si>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</si>
  <si>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</si>
  <si>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</si>
  <si>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</si>
  <si>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</si>
  <si>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</si>
  <si>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</si>
  <si>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</si>
  <si>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</si>
  <si>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</si>
  <si>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</si>
  <si>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</si>
  <si>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</si>
  <si>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</si>
  <si>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</si>
  <si>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</si>
  <si>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</si>
  <si>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</si>
  <si>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</si>
  <si>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</si>
  <si>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</si>
  <si>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</si>
  <si>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</si>
  <si>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</si>
  <si>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</si>
  <si>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</si>
  <si>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</si>
  <si>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</si>
  <si>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</si>
  <si>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</si>
  <si>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</si>
  <si>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</si>
  <si>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</si>
  <si>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</si>
  <si>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</si>
  <si>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</si>
  <si>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</si>
  <si>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</si>
  <si>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</si>
  <si>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</si>
  <si>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</si>
  <si>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</si>
  <si>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</si>
  <si>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</si>
  <si>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</si>
  <si>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</si>
  <si>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</si>
  <si>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</si>
  <si>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</si>
  <si>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</si>
  <si>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</si>
  <si>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</si>
  <si>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</si>
  <si>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</si>
  <si>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</si>
  <si>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</si>
  <si>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</si>
  <si>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</si>
  <si>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</si>
  <si>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</si>
  <si>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</si>
  <si>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</si>
  <si>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</si>
  <si>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</si>
  <si>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</si>
  <si>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</si>
  <si>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</si>
  <si>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</si>
  <si>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</si>
  <si>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</si>
  <si>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</si>
  <si>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</si>
  <si>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</si>
  <si>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</si>
  <si>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</si>
  <si>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</si>
  <si>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</si>
  <si>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</si>
  <si>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</si>
  <si>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</si>
  <si>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</si>
  <si>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</si>
  <si>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</si>
  <si>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</si>
  <si>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</si>
  <si>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</si>
  <si>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</si>
  <si>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</si>
  <si>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</si>
  <si>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</si>
  <si>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</si>
  <si>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</si>
  <si>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</si>
  <si>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</si>
  <si>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</si>
  <si>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</si>
  <si>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</si>
  <si>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</si>
  <si>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</si>
  <si>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</si>
  <si>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</si>
  <si>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</si>
  <si>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</si>
  <si>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</si>
  <si>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</si>
  <si>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</si>
  <si>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</si>
  <si>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</si>
  <si>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</si>
  <si>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</si>
  <si>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</si>
  <si>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</si>
  <si>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</si>
  <si>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</si>
  <si>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</si>
  <si>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</si>
  <si>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</si>
  <si>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</si>
  <si>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</si>
  <si>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</si>
  <si>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</si>
  <si>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</si>
  <si>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</si>
  <si>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</si>
  <si>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</si>
  <si>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</si>
  <si>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</si>
  <si>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</si>
  <si>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</si>
  <si>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</si>
  <si>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</si>
  <si>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</si>
  <si>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</si>
  <si>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</si>
  <si>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</si>
  <si>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</si>
  <si>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</si>
  <si>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</si>
  <si>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</si>
  <si>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</si>
  <si>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</si>
  <si>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</si>
  <si>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</si>
  <si>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</si>
  <si>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</si>
  <si>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</si>
  <si>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</si>
  <si>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</si>
  <si>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</si>
  <si>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</si>
  <si>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</si>
  <si>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</si>
  <si>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</si>
  <si>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</si>
  <si>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</si>
  <si>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</si>
  <si>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</si>
  <si>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</si>
  <si>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</si>
  <si>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</si>
  <si>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</si>
  <si>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</si>
  <si>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</si>
  <si>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</si>
  <si>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</si>
  <si>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</si>
  <si>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</si>
  <si>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</si>
  <si>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</si>
  <si>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</si>
  <si>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</si>
  <si>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</si>
  <si>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</si>
  <si>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</si>
  <si>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</si>
  <si>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</si>
  <si>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</si>
  <si>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</si>
  <si>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</si>
  <si>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</si>
  <si>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</si>
  <si>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</si>
  <si>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</si>
  <si>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</si>
  <si>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</si>
  <si>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</si>
  <si>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</si>
  <si>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</si>
  <si>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</si>
  <si>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</si>
  <si>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</si>
  <si>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</si>
  <si>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</si>
  <si>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</si>
  <si>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</si>
  <si>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</si>
  <si>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</si>
  <si>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</si>
  <si>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</si>
  <si>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</si>
  <si>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</si>
  <si>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</si>
  <si>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</si>
  <si>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</si>
  <si>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</si>
  <si>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</si>
  <si>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</si>
  <si>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</si>
  <si>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</si>
  <si>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</si>
  <si>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</si>
  <si>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</si>
  <si>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</si>
  <si>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</si>
  <si>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</si>
  <si>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</si>
  <si>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</si>
  <si>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</si>
  <si>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</si>
  <si>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</si>
  <si>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</si>
  <si>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</si>
  <si>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</si>
  <si>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</si>
  <si>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</si>
  <si>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</si>
  <si>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</si>
  <si>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</si>
  <si>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</si>
  <si>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</si>
  <si>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</si>
  <si>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</si>
  <si>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</si>
  <si>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</si>
  <si>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</si>
  <si>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</si>
  <si>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</si>
  <si>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</si>
  <si>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</si>
  <si>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</si>
  <si>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</si>
  <si>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</si>
  <si>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</si>
  <si>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</si>
  <si>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</si>
  <si>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</si>
  <si>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</si>
  <si>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</si>
  <si>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</si>
  <si>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</si>
  <si>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</si>
  <si>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</si>
  <si>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</si>
  <si>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</si>
  <si>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</si>
  <si>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</si>
  <si>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</si>
  <si>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</si>
  <si>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</si>
  <si>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</si>
  <si>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</si>
  <si>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</si>
  <si>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</si>
  <si>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</si>
  <si>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</si>
  <si>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</si>
  <si>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</si>
  <si>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</si>
  <si>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</si>
  <si>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</si>
  <si>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</si>
  <si>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</si>
  <si>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</si>
  <si>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</si>
  <si>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</si>
  <si>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</si>
  <si>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</si>
  <si>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</si>
  <si>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</si>
  <si>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</si>
  <si>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</si>
  <si>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Hampstead School District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</si>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</sst>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223</v>
      </c>
      <c r="C2" s="21">
        <v>223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1232566.36+525</f>
        <v>1233091.3600000001</v>
      </c>
      <c r="G9" s="18">
        <v>65496.17</v>
      </c>
      <c r="H9" s="18">
        <f>112624.18+0.3</f>
        <v>112624.48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564879.18999999994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220981.15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36328.239999999998</v>
      </c>
      <c r="G13" s="18">
        <v>52678.46</v>
      </c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16445.28</v>
      </c>
      <c r="G14" s="18">
        <v>5166.8500000000004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5466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1506846.03</v>
      </c>
      <c r="G19" s="41">
        <f>SUM(G9:G18)</f>
        <v>128807.48000000001</v>
      </c>
      <c r="H19" s="41">
        <f>SUM(H9:H18)</f>
        <v>112624.48</v>
      </c>
      <c r="I19" s="41">
        <f>SUM(I9:I18)</f>
        <v>0</v>
      </c>
      <c r="J19" s="41">
        <f>SUM(J9:J18)</f>
        <v>564879.18999999994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112836.1</v>
      </c>
      <c r="H22" s="18">
        <v>108145.05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f>104342+48110.56</f>
        <v>152452.56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65328.05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1430</v>
      </c>
      <c r="G30" s="18">
        <v>9133.76</v>
      </c>
      <c r="H30" s="18">
        <v>4479.43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219210.61</v>
      </c>
      <c r="G32" s="41">
        <f>SUM(G22:G31)</f>
        <v>121969.86</v>
      </c>
      <c r="H32" s="41">
        <f>SUM(H22:H31)</f>
        <v>112624.48000000001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>
        <v>190359.41</v>
      </c>
      <c r="G35" s="18">
        <f>5466+1371.62</f>
        <v>6837.62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125000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200000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564879.18999999994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772276.01000000187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1287635.4200000018</v>
      </c>
      <c r="G51" s="41">
        <f>SUM(G35:G50)</f>
        <v>6837.62</v>
      </c>
      <c r="H51" s="41">
        <f>SUM(H35:H50)</f>
        <v>0</v>
      </c>
      <c r="I51" s="41">
        <f>SUM(I35:I50)</f>
        <v>0</v>
      </c>
      <c r="J51" s="41">
        <f>SUM(J35:J50)</f>
        <v>564879.18999999994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1506846.0300000017</v>
      </c>
      <c r="G52" s="41">
        <f>G51+G32</f>
        <v>128807.48</v>
      </c>
      <c r="H52" s="41">
        <f>H51+H32</f>
        <v>112624.48000000001</v>
      </c>
      <c r="I52" s="41">
        <f>I51+I32</f>
        <v>0</v>
      </c>
      <c r="J52" s="41">
        <f>J51+J32</f>
        <v>564879.18999999994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17758767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17758767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f>160320+2268+28171</f>
        <v>190759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190759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>
        <v>1191.5999999999999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135529.1+5499.9+76389.47+18946.27+2113</f>
        <v>238477.74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160.78</v>
      </c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6967.59</f>
        <v>6967.59</v>
      </c>
      <c r="G110" s="18"/>
      <c r="H110" s="18">
        <f>4999.99+14877.01-406.67+1452+29.97</f>
        <v>20952.300000000003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7128.37</v>
      </c>
      <c r="G111" s="41">
        <f>SUM(G96:G110)</f>
        <v>238477.74</v>
      </c>
      <c r="H111" s="41">
        <f>SUM(H96:H110)</f>
        <v>20952.300000000003</v>
      </c>
      <c r="I111" s="41">
        <f>SUM(I96:I110)</f>
        <v>0</v>
      </c>
      <c r="J111" s="41">
        <f>SUM(J96:J110)</f>
        <v>1191.5999999999999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17956654.370000001</v>
      </c>
      <c r="G112" s="41">
        <f>G60+G111</f>
        <v>238477.74</v>
      </c>
      <c r="H112" s="41">
        <f>H60+H79+H94+H111</f>
        <v>20952.300000000003</v>
      </c>
      <c r="I112" s="41">
        <f>I60+I111</f>
        <v>0</v>
      </c>
      <c r="J112" s="41">
        <f>J60+J111</f>
        <v>1191.5999999999999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2749230.19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2389382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5138612.1899999995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180445.31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3484.43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180445.31</v>
      </c>
      <c r="G136" s="41">
        <f>SUM(G123:G135)</f>
        <v>3484.43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5319057.4999999991</v>
      </c>
      <c r="G140" s="41">
        <f>G121+SUM(G136:G137)</f>
        <v>3484.43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66117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5000+25676</f>
        <v>30676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46587.83+16666.31</f>
        <v>63254.14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7804+214227.17</f>
        <v>222031.17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95229.11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 t="s">
        <v>913</v>
      </c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95229.11</v>
      </c>
      <c r="G162" s="41">
        <f>SUM(G150:G161)</f>
        <v>63254.14</v>
      </c>
      <c r="H162" s="41">
        <f>SUM(H150:H161)</f>
        <v>318824.17000000004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95229.11</v>
      </c>
      <c r="G169" s="41">
        <f>G147+G162+SUM(G163:G168)</f>
        <v>63254.14</v>
      </c>
      <c r="H169" s="41">
        <f>H147+H162+SUM(H163:H168)</f>
        <v>318824.17000000004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75000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23370940.98</v>
      </c>
      <c r="G193" s="47">
        <f>G112+G140+G169+G192</f>
        <v>305216.31</v>
      </c>
      <c r="H193" s="47">
        <f>H112+H140+H169+H192</f>
        <v>339776.47000000003</v>
      </c>
      <c r="I193" s="47">
        <f>I112+I140+I169+I192</f>
        <v>0</v>
      </c>
      <c r="J193" s="47">
        <f>J112+J140+J192</f>
        <v>76191.600000000006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2464163.12</v>
      </c>
      <c r="G197" s="18">
        <v>1340338.52</v>
      </c>
      <c r="H197" s="18">
        <v>3096.64</v>
      </c>
      <c r="I197" s="18">
        <v>181685.46</v>
      </c>
      <c r="J197" s="18">
        <v>35594.81</v>
      </c>
      <c r="K197" s="18">
        <v>10391.299999999999</v>
      </c>
      <c r="L197" s="19">
        <f>SUM(F197:K197)</f>
        <v>4035269.85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1026622.15</v>
      </c>
      <c r="G198" s="18">
        <v>558413.19999999995</v>
      </c>
      <c r="H198" s="18">
        <v>78962.12</v>
      </c>
      <c r="I198" s="18">
        <v>4915.58</v>
      </c>
      <c r="J198" s="18">
        <v>2713.52</v>
      </c>
      <c r="K198" s="18">
        <v>907.62</v>
      </c>
      <c r="L198" s="19">
        <f>SUM(F198:K198)</f>
        <v>1672534.1900000004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1872.28</v>
      </c>
      <c r="G200" s="18">
        <v>1018.39</v>
      </c>
      <c r="H200" s="18"/>
      <c r="I200" s="18">
        <v>23.64</v>
      </c>
      <c r="J200" s="18"/>
      <c r="K200" s="18"/>
      <c r="L200" s="19">
        <f>SUM(F200:K200)</f>
        <v>2914.31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312782.65000000002</v>
      </c>
      <c r="G202" s="18">
        <v>170132.66</v>
      </c>
      <c r="H202" s="18">
        <v>10221.629999999999</v>
      </c>
      <c r="I202" s="18">
        <v>7033</v>
      </c>
      <c r="J202" s="18">
        <v>1200.46</v>
      </c>
      <c r="K202" s="18">
        <v>1558.54</v>
      </c>
      <c r="L202" s="19">
        <f t="shared" ref="L202:L208" si="0">SUM(F202:K202)</f>
        <v>502928.94000000006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67614.559999999998</v>
      </c>
      <c r="G203" s="18">
        <v>62839.74</v>
      </c>
      <c r="H203" s="18">
        <v>14157.82</v>
      </c>
      <c r="I203" s="18">
        <v>14870.55</v>
      </c>
      <c r="J203" s="18">
        <v>227.49</v>
      </c>
      <c r="K203" s="18"/>
      <c r="L203" s="19">
        <f t="shared" si="0"/>
        <v>159710.15999999997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2562.4299999999998</v>
      </c>
      <c r="G204" s="18">
        <v>1393.79</v>
      </c>
      <c r="H204" s="18">
        <v>191320.79</v>
      </c>
      <c r="I204" s="18">
        <v>259.42</v>
      </c>
      <c r="J204" s="18"/>
      <c r="K204" s="18">
        <v>5950.89</v>
      </c>
      <c r="L204" s="19">
        <f t="shared" si="0"/>
        <v>201487.32000000004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311301.83</v>
      </c>
      <c r="G205" s="18">
        <v>169327.2</v>
      </c>
      <c r="H205" s="18">
        <v>26520.75</v>
      </c>
      <c r="I205" s="18">
        <v>3249.04</v>
      </c>
      <c r="J205" s="18">
        <v>1089.99</v>
      </c>
      <c r="K205" s="18">
        <v>2127</v>
      </c>
      <c r="L205" s="19">
        <f t="shared" si="0"/>
        <v>513615.81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308221.92</v>
      </c>
      <c r="G207" s="18">
        <v>168323.53</v>
      </c>
      <c r="H207" s="18">
        <v>78669.2</v>
      </c>
      <c r="I207" s="18">
        <v>130707.71</v>
      </c>
      <c r="J207" s="18">
        <v>2203.69</v>
      </c>
      <c r="K207" s="18">
        <v>2736.83</v>
      </c>
      <c r="L207" s="19">
        <f t="shared" si="0"/>
        <v>690862.87999999977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277878.33</v>
      </c>
      <c r="I208" s="18"/>
      <c r="J208" s="18"/>
      <c r="K208" s="18"/>
      <c r="L208" s="19">
        <f t="shared" si="0"/>
        <v>277878.33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>
        <v>3340.37</v>
      </c>
      <c r="J209" s="18"/>
      <c r="K209" s="18"/>
      <c r="L209" s="19">
        <f>SUM(F209:K209)</f>
        <v>3340.37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4495140.9400000004</v>
      </c>
      <c r="G211" s="41">
        <f t="shared" si="1"/>
        <v>2471787.0299999998</v>
      </c>
      <c r="H211" s="41">
        <f t="shared" si="1"/>
        <v>680827.28</v>
      </c>
      <c r="I211" s="41">
        <f t="shared" si="1"/>
        <v>346084.77</v>
      </c>
      <c r="J211" s="41">
        <f t="shared" si="1"/>
        <v>43029.959999999992</v>
      </c>
      <c r="K211" s="41">
        <f t="shared" si="1"/>
        <v>23672.18</v>
      </c>
      <c r="L211" s="41">
        <f t="shared" si="1"/>
        <v>8060542.1600000011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2327067.2400000002</v>
      </c>
      <c r="G215" s="18">
        <v>1265767.6100000001</v>
      </c>
      <c r="H215" s="18">
        <v>15552.6</v>
      </c>
      <c r="I215" s="18">
        <v>148098.45000000001</v>
      </c>
      <c r="J215" s="18">
        <v>48061.08</v>
      </c>
      <c r="K215" s="18">
        <v>9093.15</v>
      </c>
      <c r="L215" s="19">
        <f>SUM(F215:K215)</f>
        <v>3813640.1300000008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945467.37</v>
      </c>
      <c r="G216" s="18">
        <v>514270.47</v>
      </c>
      <c r="H216" s="18">
        <v>422841.05</v>
      </c>
      <c r="I216" s="18">
        <v>3104.45</v>
      </c>
      <c r="J216" s="18">
        <v>2846.05</v>
      </c>
      <c r="K216" s="18">
        <v>951.95</v>
      </c>
      <c r="L216" s="19">
        <f>SUM(F216:K216)</f>
        <v>1889481.3399999999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46893.120000000003</v>
      </c>
      <c r="G218" s="18">
        <v>25506.69</v>
      </c>
      <c r="H218" s="18">
        <v>7929</v>
      </c>
      <c r="I218" s="18">
        <v>4821.1000000000004</v>
      </c>
      <c r="J218" s="18">
        <v>1023.88</v>
      </c>
      <c r="K218" s="18">
        <v>4190.5</v>
      </c>
      <c r="L218" s="19">
        <f>SUM(F218:K218)</f>
        <v>90364.290000000008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387118.27</v>
      </c>
      <c r="G220" s="18">
        <v>210566.23</v>
      </c>
      <c r="H220" s="18">
        <v>8000.83</v>
      </c>
      <c r="I220" s="18">
        <v>3365.58</v>
      </c>
      <c r="J220" s="18">
        <v>1011.65</v>
      </c>
      <c r="K220" s="18">
        <v>1634.66</v>
      </c>
      <c r="L220" s="19">
        <f t="shared" ref="L220:L226" si="2">SUM(F220:K220)</f>
        <v>611697.22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68107.89</v>
      </c>
      <c r="G221" s="18">
        <v>64380.87</v>
      </c>
      <c r="H221" s="18">
        <v>14849.24</v>
      </c>
      <c r="I221" s="18">
        <v>12389.48</v>
      </c>
      <c r="J221" s="18">
        <v>238.61</v>
      </c>
      <c r="K221" s="18"/>
      <c r="L221" s="19">
        <f t="shared" si="2"/>
        <v>159966.09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2687.57</v>
      </c>
      <c r="G222" s="18">
        <v>1461.86</v>
      </c>
      <c r="H222" s="18">
        <v>200664.37</v>
      </c>
      <c r="I222" s="18">
        <v>272.08</v>
      </c>
      <c r="J222" s="18"/>
      <c r="K222" s="18">
        <v>6241.52</v>
      </c>
      <c r="L222" s="19">
        <f t="shared" si="2"/>
        <v>211327.39999999997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301638.52</v>
      </c>
      <c r="G223" s="18">
        <v>164071.01</v>
      </c>
      <c r="H223" s="18">
        <v>17141.310000000001</v>
      </c>
      <c r="I223" s="18">
        <v>3125.04</v>
      </c>
      <c r="J223" s="18">
        <v>6980</v>
      </c>
      <c r="K223" s="18">
        <v>3224.3</v>
      </c>
      <c r="L223" s="19">
        <f t="shared" si="2"/>
        <v>496180.18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326905.90999999997</v>
      </c>
      <c r="G225" s="18">
        <v>178519.16</v>
      </c>
      <c r="H225" s="18">
        <v>82511.179999999993</v>
      </c>
      <c r="I225" s="18">
        <v>137091.12</v>
      </c>
      <c r="J225" s="18">
        <v>2311.31</v>
      </c>
      <c r="K225" s="18">
        <v>2987.64</v>
      </c>
      <c r="L225" s="19">
        <f t="shared" si="2"/>
        <v>730326.32000000007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272916.51</v>
      </c>
      <c r="I226" s="18"/>
      <c r="J226" s="18"/>
      <c r="K226" s="18"/>
      <c r="L226" s="19">
        <f t="shared" si="2"/>
        <v>272916.51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>
        <v>3503.5</v>
      </c>
      <c r="J227" s="18"/>
      <c r="K227" s="18"/>
      <c r="L227" s="19">
        <f>SUM(F227:K227)</f>
        <v>3503.5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4405885.8900000006</v>
      </c>
      <c r="G229" s="41">
        <f>SUM(G215:G228)</f>
        <v>2424543.9000000004</v>
      </c>
      <c r="H229" s="41">
        <f>SUM(H215:H228)</f>
        <v>1042406.0900000001</v>
      </c>
      <c r="I229" s="41">
        <f>SUM(I215:I228)</f>
        <v>315770.80000000005</v>
      </c>
      <c r="J229" s="41">
        <f>SUM(J215:J228)</f>
        <v>62472.58</v>
      </c>
      <c r="K229" s="41">
        <f t="shared" si="3"/>
        <v>28323.719999999998</v>
      </c>
      <c r="L229" s="41">
        <f t="shared" si="3"/>
        <v>8279402.9800000004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4789949.1399999997</v>
      </c>
      <c r="I233" s="18"/>
      <c r="J233" s="18"/>
      <c r="K233" s="18"/>
      <c r="L233" s="19">
        <f>SUM(F233:K233)</f>
        <v>4789949.1399999997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83976.86</v>
      </c>
      <c r="G234" s="18">
        <v>45677.75</v>
      </c>
      <c r="H234" s="18">
        <v>1325986.8400000001</v>
      </c>
      <c r="I234" s="18"/>
      <c r="J234" s="18"/>
      <c r="K234" s="18"/>
      <c r="L234" s="19">
        <f>SUM(F234:K234)</f>
        <v>1455641.4500000002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>
        <v>132477</v>
      </c>
      <c r="I240" s="18"/>
      <c r="J240" s="18"/>
      <c r="K240" s="18"/>
      <c r="L240" s="19">
        <f t="shared" si="4"/>
        <v>132477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302608.40000000002</v>
      </c>
      <c r="I244" s="18"/>
      <c r="J244" s="18"/>
      <c r="K244" s="18"/>
      <c r="L244" s="19">
        <f t="shared" si="4"/>
        <v>302608.40000000002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83976.86</v>
      </c>
      <c r="G247" s="41">
        <f t="shared" si="5"/>
        <v>45677.75</v>
      </c>
      <c r="H247" s="41">
        <f t="shared" si="5"/>
        <v>6551021.3799999999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6680675.9900000002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>
        <v>9571.86</v>
      </c>
      <c r="G253" s="18">
        <v>5206.45</v>
      </c>
      <c r="H253" s="18"/>
      <c r="I253" s="18"/>
      <c r="J253" s="18"/>
      <c r="K253" s="18"/>
      <c r="L253" s="19">
        <f t="shared" si="6"/>
        <v>14778.310000000001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f>186580.35+115866.68+8915-1448.66</f>
        <v>309913.37000000005</v>
      </c>
      <c r="I255" s="18"/>
      <c r="J255" s="18"/>
      <c r="K255" s="18"/>
      <c r="L255" s="19">
        <f t="shared" si="6"/>
        <v>309913.37000000005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9571.86</v>
      </c>
      <c r="G256" s="41">
        <f t="shared" si="7"/>
        <v>5206.45</v>
      </c>
      <c r="H256" s="41">
        <f t="shared" si="7"/>
        <v>309913.37000000005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324691.68000000005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8994575.5500000007</v>
      </c>
      <c r="G257" s="41">
        <f t="shared" si="8"/>
        <v>4947215.13</v>
      </c>
      <c r="H257" s="41">
        <f t="shared" si="8"/>
        <v>8584168.1199999992</v>
      </c>
      <c r="I257" s="41">
        <f t="shared" si="8"/>
        <v>661855.57000000007</v>
      </c>
      <c r="J257" s="41">
        <f t="shared" si="8"/>
        <v>105502.54</v>
      </c>
      <c r="K257" s="41">
        <f t="shared" si="8"/>
        <v>51995.899999999994</v>
      </c>
      <c r="L257" s="41">
        <f t="shared" si="8"/>
        <v>23345312.810000002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75000</v>
      </c>
      <c r="L266" s="19">
        <f t="shared" si="9"/>
        <v>75000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75000</v>
      </c>
      <c r="L270" s="41">
        <f t="shared" si="9"/>
        <v>75000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8994575.5500000007</v>
      </c>
      <c r="G271" s="42">
        <f t="shared" si="11"/>
        <v>4947215.13</v>
      </c>
      <c r="H271" s="42">
        <f t="shared" si="11"/>
        <v>8584168.1199999992</v>
      </c>
      <c r="I271" s="42">
        <f t="shared" si="11"/>
        <v>661855.57000000007</v>
      </c>
      <c r="J271" s="42">
        <f t="shared" si="11"/>
        <v>105502.54</v>
      </c>
      <c r="K271" s="42">
        <f t="shared" si="11"/>
        <v>126995.9</v>
      </c>
      <c r="L271" s="42">
        <f t="shared" si="11"/>
        <v>23420312.810000002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30986.36</v>
      </c>
      <c r="G276" s="18"/>
      <c r="H276" s="18"/>
      <c r="I276" s="18">
        <v>254.28</v>
      </c>
      <c r="J276" s="18">
        <v>11136.87</v>
      </c>
      <c r="K276" s="18"/>
      <c r="L276" s="19">
        <f>SUM(F276:K276)</f>
        <v>42377.51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51279.46</v>
      </c>
      <c r="G277" s="18">
        <v>3457.72</v>
      </c>
      <c r="H277" s="18"/>
      <c r="I277" s="18">
        <v>2003.96</v>
      </c>
      <c r="J277" s="18">
        <v>2959.57</v>
      </c>
      <c r="K277" s="18"/>
      <c r="L277" s="19">
        <f>SUM(F277:K277)</f>
        <v>59700.71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v>43949.13</v>
      </c>
      <c r="I281" s="18"/>
      <c r="J281" s="18"/>
      <c r="K281" s="18"/>
      <c r="L281" s="19">
        <f t="shared" ref="L281:L287" si="12">SUM(F281:K281)</f>
        <v>43949.13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3103.97</v>
      </c>
      <c r="G282" s="18"/>
      <c r="H282" s="18">
        <v>16707.53</v>
      </c>
      <c r="I282" s="18"/>
      <c r="J282" s="18"/>
      <c r="K282" s="18"/>
      <c r="L282" s="19">
        <f t="shared" si="12"/>
        <v>19811.5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85369.790000000008</v>
      </c>
      <c r="G290" s="42">
        <f t="shared" si="13"/>
        <v>3457.72</v>
      </c>
      <c r="H290" s="42">
        <f t="shared" si="13"/>
        <v>60656.659999999996</v>
      </c>
      <c r="I290" s="42">
        <f t="shared" si="13"/>
        <v>2258.2400000000002</v>
      </c>
      <c r="J290" s="42">
        <f t="shared" si="13"/>
        <v>14096.44</v>
      </c>
      <c r="K290" s="42">
        <f t="shared" si="13"/>
        <v>0</v>
      </c>
      <c r="L290" s="41">
        <f t="shared" si="13"/>
        <v>165838.85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32499.64</v>
      </c>
      <c r="G295" s="18"/>
      <c r="H295" s="18"/>
      <c r="I295" s="18">
        <v>266.69</v>
      </c>
      <c r="J295" s="18">
        <v>11680.76</v>
      </c>
      <c r="K295" s="18"/>
      <c r="L295" s="19">
        <f>SUM(F295:K295)</f>
        <v>44447.09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f>53783.81-0.3</f>
        <v>53783.509999999995</v>
      </c>
      <c r="G296" s="18">
        <v>3626.58</v>
      </c>
      <c r="H296" s="18"/>
      <c r="I296" s="18">
        <v>2101.8200000000002</v>
      </c>
      <c r="J296" s="18">
        <v>3104.11</v>
      </c>
      <c r="K296" s="18"/>
      <c r="L296" s="19">
        <f>SUM(F296:K296)</f>
        <v>62616.02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>
        <v>46095.49</v>
      </c>
      <c r="I300" s="18"/>
      <c r="J300" s="18"/>
      <c r="K300" s="18"/>
      <c r="L300" s="19">
        <f t="shared" ref="L300:L306" si="14">SUM(F300:K300)</f>
        <v>46095.49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3255.55</v>
      </c>
      <c r="G301" s="18"/>
      <c r="H301" s="18">
        <v>17523.47</v>
      </c>
      <c r="I301" s="18"/>
      <c r="J301" s="18"/>
      <c r="K301" s="18"/>
      <c r="L301" s="19">
        <f t="shared" si="14"/>
        <v>20779.02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89538.7</v>
      </c>
      <c r="G309" s="42">
        <f t="shared" si="15"/>
        <v>3626.58</v>
      </c>
      <c r="H309" s="42">
        <f t="shared" si="15"/>
        <v>63618.96</v>
      </c>
      <c r="I309" s="42">
        <f t="shared" si="15"/>
        <v>2368.5100000000002</v>
      </c>
      <c r="J309" s="42">
        <f t="shared" si="15"/>
        <v>14784.87</v>
      </c>
      <c r="K309" s="42">
        <f t="shared" si="15"/>
        <v>0</v>
      </c>
      <c r="L309" s="41">
        <f t="shared" si="15"/>
        <v>173937.61999999997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174908.49</v>
      </c>
      <c r="G338" s="41">
        <f t="shared" si="20"/>
        <v>7084.2999999999993</v>
      </c>
      <c r="H338" s="41">
        <f t="shared" si="20"/>
        <v>124275.62</v>
      </c>
      <c r="I338" s="41">
        <f t="shared" si="20"/>
        <v>4626.75</v>
      </c>
      <c r="J338" s="41">
        <f t="shared" si="20"/>
        <v>28881.31</v>
      </c>
      <c r="K338" s="41">
        <f t="shared" si="20"/>
        <v>0</v>
      </c>
      <c r="L338" s="41">
        <f t="shared" si="20"/>
        <v>339776.47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174908.49</v>
      </c>
      <c r="G352" s="41">
        <f>G338</f>
        <v>7084.2999999999993</v>
      </c>
      <c r="H352" s="41">
        <f>H338</f>
        <v>124275.62</v>
      </c>
      <c r="I352" s="41">
        <f>I338</f>
        <v>4626.75</v>
      </c>
      <c r="J352" s="41">
        <f>J338</f>
        <v>28881.31</v>
      </c>
      <c r="K352" s="47">
        <f>K338+K351</f>
        <v>0</v>
      </c>
      <c r="L352" s="41">
        <f>L338+L351</f>
        <v>339776.47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69002.87</v>
      </c>
      <c r="G358" s="18">
        <v>2011.84</v>
      </c>
      <c r="H358" s="18">
        <v>28.99</v>
      </c>
      <c r="I358" s="18">
        <v>70492.12</v>
      </c>
      <c r="J358" s="18"/>
      <c r="K358" s="18">
        <v>8699.08</v>
      </c>
      <c r="L358" s="13">
        <f>SUM(F358:K358)</f>
        <v>150234.9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63211.71</v>
      </c>
      <c r="G359" s="18">
        <v>1843</v>
      </c>
      <c r="H359" s="18">
        <v>30.41</v>
      </c>
      <c r="I359" s="18">
        <f>73934.74--0.0100000000093132</f>
        <v>73934.750000000015</v>
      </c>
      <c r="J359" s="18"/>
      <c r="K359" s="18">
        <v>9123.92</v>
      </c>
      <c r="L359" s="19">
        <f>SUM(F359:K359)</f>
        <v>148143.79000000004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132214.57999999999</v>
      </c>
      <c r="G362" s="47">
        <f t="shared" si="22"/>
        <v>3854.84</v>
      </c>
      <c r="H362" s="47">
        <f t="shared" si="22"/>
        <v>59.4</v>
      </c>
      <c r="I362" s="47">
        <f t="shared" si="22"/>
        <v>144426.87</v>
      </c>
      <c r="J362" s="47">
        <f t="shared" si="22"/>
        <v>0</v>
      </c>
      <c r="K362" s="47">
        <f t="shared" si="22"/>
        <v>17823</v>
      </c>
      <c r="L362" s="47">
        <f t="shared" si="22"/>
        <v>298378.69000000006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59521.99</v>
      </c>
      <c r="G367" s="18">
        <v>62428.88</v>
      </c>
      <c r="H367" s="18"/>
      <c r="I367" s="56">
        <f>SUM(F367:H367)</f>
        <v>121950.87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10970.12</v>
      </c>
      <c r="G368" s="63">
        <v>11505.88</v>
      </c>
      <c r="H368" s="63"/>
      <c r="I368" s="56">
        <f>SUM(F368:H368)</f>
        <v>22476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70492.11</v>
      </c>
      <c r="G369" s="47">
        <f>SUM(G367:G368)</f>
        <v>73934.759999999995</v>
      </c>
      <c r="H369" s="47">
        <f>SUM(H367:H368)</f>
        <v>0</v>
      </c>
      <c r="I369" s="47">
        <f>SUM(I367:I368)</f>
        <v>144426.87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>
        <v>75000</v>
      </c>
      <c r="H388" s="18">
        <v>1191.5999999999999</v>
      </c>
      <c r="I388" s="18"/>
      <c r="J388" s="24" t="s">
        <v>288</v>
      </c>
      <c r="K388" s="24" t="s">
        <v>288</v>
      </c>
      <c r="L388" s="56">
        <f t="shared" si="25"/>
        <v>76191.600000000006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75000</v>
      </c>
      <c r="H393" s="139">
        <f>SUM(H387:H392)</f>
        <v>1191.5999999999999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76191.600000000006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1191.5999999999999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76191.600000000006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564879.18999999994</v>
      </c>
      <c r="G440" s="18"/>
      <c r="H440" s="18"/>
      <c r="I440" s="56">
        <f t="shared" si="33"/>
        <v>564879.18999999994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564879.18999999994</v>
      </c>
      <c r="G446" s="13">
        <f>SUM(G439:G445)</f>
        <v>0</v>
      </c>
      <c r="H446" s="13">
        <f>SUM(H439:H445)</f>
        <v>0</v>
      </c>
      <c r="I446" s="13">
        <f>SUM(I439:I445)</f>
        <v>564879.18999999994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f>563022+665.59+1191.6</f>
        <v>564879.18999999994</v>
      </c>
      <c r="G459" s="18"/>
      <c r="H459" s="18"/>
      <c r="I459" s="56">
        <f t="shared" si="34"/>
        <v>564879.18999999994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564879.18999999994</v>
      </c>
      <c r="G460" s="83">
        <f>SUM(G454:G459)</f>
        <v>0</v>
      </c>
      <c r="H460" s="83">
        <f>SUM(H454:H459)</f>
        <v>0</v>
      </c>
      <c r="I460" s="83">
        <f>SUM(I454:I459)</f>
        <v>564879.18999999994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564879.18999999994</v>
      </c>
      <c r="G461" s="42">
        <f>G452+G460</f>
        <v>0</v>
      </c>
      <c r="H461" s="42">
        <f>H452+H460</f>
        <v>0</v>
      </c>
      <c r="I461" s="42">
        <f>I452+I460</f>
        <v>564879.18999999994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1337007.25</v>
      </c>
      <c r="G465" s="18"/>
      <c r="H465" s="18"/>
      <c r="I465" s="18"/>
      <c r="J465" s="18">
        <v>488687.59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23370940.98</v>
      </c>
      <c r="G468" s="18">
        <v>305216.31</v>
      </c>
      <c r="H468" s="18">
        <v>339776.47</v>
      </c>
      <c r="I468" s="18"/>
      <c r="J468" s="18">
        <f>75000+1191.6</f>
        <v>76191.600000000006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23370940.98</v>
      </c>
      <c r="G470" s="53">
        <f>SUM(G468:G469)</f>
        <v>305216.31</v>
      </c>
      <c r="H470" s="53">
        <f>SUM(H468:H469)</f>
        <v>339776.47</v>
      </c>
      <c r="I470" s="53">
        <f>SUM(I468:I469)</f>
        <v>0</v>
      </c>
      <c r="J470" s="53">
        <f>SUM(J468:J469)</f>
        <v>76191.600000000006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23420312.82-0.01</f>
        <v>23420312.809999999</v>
      </c>
      <c r="G472" s="18">
        <v>298378.69</v>
      </c>
      <c r="H472" s="18">
        <v>339776.47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23420312.809999999</v>
      </c>
      <c r="G474" s="53">
        <f>SUM(G472:G473)</f>
        <v>298378.69</v>
      </c>
      <c r="H474" s="53">
        <f>SUM(H472:H473)</f>
        <v>339776.47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1287635.4200000018</v>
      </c>
      <c r="G476" s="53">
        <f>(G465+G470)- G474</f>
        <v>6837.6199999999953</v>
      </c>
      <c r="H476" s="53">
        <f>(H465+H470)- H474</f>
        <v>0</v>
      </c>
      <c r="I476" s="53">
        <f>(I465+I470)- I474</f>
        <v>0</v>
      </c>
      <c r="J476" s="53">
        <f>(J465+J470)- J474</f>
        <v>564879.19000000006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987971.88</v>
      </c>
      <c r="G521" s="18">
        <v>512955.21</v>
      </c>
      <c r="H521" s="18">
        <v>78962.12</v>
      </c>
      <c r="I521" s="18">
        <v>6488.95</v>
      </c>
      <c r="J521" s="18">
        <v>5673.09</v>
      </c>
      <c r="K521" s="18">
        <v>907.62</v>
      </c>
      <c r="L521" s="88">
        <f>SUM(F521:K521)</f>
        <v>1592958.87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901254.43</v>
      </c>
      <c r="G522" s="18">
        <v>465786.77</v>
      </c>
      <c r="H522" s="18">
        <v>422841.05</v>
      </c>
      <c r="I522" s="18">
        <v>4794.8599999999997</v>
      </c>
      <c r="J522" s="18">
        <v>5808.62</v>
      </c>
      <c r="K522" s="18">
        <v>951.95</v>
      </c>
      <c r="L522" s="88">
        <f>SUM(F522:K522)</f>
        <v>1801437.6800000004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1325986.8400000001</v>
      </c>
      <c r="I523" s="18"/>
      <c r="J523" s="18"/>
      <c r="K523" s="18"/>
      <c r="L523" s="88">
        <f>SUM(F523:K523)</f>
        <v>1325986.8400000001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1889226.31</v>
      </c>
      <c r="G524" s="108">
        <f t="shared" ref="G524:L524" si="36">SUM(G521:G523)</f>
        <v>978741.98</v>
      </c>
      <c r="H524" s="108">
        <f t="shared" si="36"/>
        <v>1827790.01</v>
      </c>
      <c r="I524" s="108">
        <f t="shared" si="36"/>
        <v>11283.81</v>
      </c>
      <c r="J524" s="108">
        <f t="shared" si="36"/>
        <v>11481.71</v>
      </c>
      <c r="K524" s="108">
        <f t="shared" si="36"/>
        <v>1859.5700000000002</v>
      </c>
      <c r="L524" s="89">
        <f t="shared" si="36"/>
        <v>4720383.3900000006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263050.15000000002</v>
      </c>
      <c r="G526" s="18">
        <v>143081.54</v>
      </c>
      <c r="H526" s="18">
        <v>1035.1199999999999</v>
      </c>
      <c r="I526" s="18">
        <v>1308.67</v>
      </c>
      <c r="J526" s="18">
        <v>666.13</v>
      </c>
      <c r="K526" s="18"/>
      <c r="L526" s="88">
        <f>SUM(F526:K526)</f>
        <v>409141.61000000004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117084.64</v>
      </c>
      <c r="G527" s="18">
        <v>63686.14</v>
      </c>
      <c r="H527" s="18">
        <v>764.88</v>
      </c>
      <c r="I527" s="18">
        <v>1339.25</v>
      </c>
      <c r="J527" s="18">
        <v>698.67</v>
      </c>
      <c r="K527" s="18"/>
      <c r="L527" s="88">
        <f>SUM(F527:K527)</f>
        <v>183573.58000000002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10147.34</v>
      </c>
      <c r="G528" s="18">
        <v>5519.47</v>
      </c>
      <c r="H528" s="18"/>
      <c r="I528" s="18"/>
      <c r="J528" s="18"/>
      <c r="K528" s="18"/>
      <c r="L528" s="88">
        <f>SUM(F528:K528)</f>
        <v>15666.810000000001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390282.13000000006</v>
      </c>
      <c r="G529" s="89">
        <f t="shared" ref="G529:L529" si="37">SUM(G526:G528)</f>
        <v>212287.15</v>
      </c>
      <c r="H529" s="89">
        <f t="shared" si="37"/>
        <v>1800</v>
      </c>
      <c r="I529" s="89">
        <f t="shared" si="37"/>
        <v>2647.92</v>
      </c>
      <c r="J529" s="89">
        <f t="shared" si="37"/>
        <v>1364.8</v>
      </c>
      <c r="K529" s="89">
        <f t="shared" si="37"/>
        <v>0</v>
      </c>
      <c r="L529" s="89">
        <f t="shared" si="37"/>
        <v>608382.00000000012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89929.73</v>
      </c>
      <c r="G531" s="18">
        <v>48915.71</v>
      </c>
      <c r="H531" s="18"/>
      <c r="I531" s="18">
        <v>430.59</v>
      </c>
      <c r="J531" s="18"/>
      <c r="K531" s="18"/>
      <c r="L531" s="88">
        <f>SUM(F531:K531)</f>
        <v>139276.03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95492.4</v>
      </c>
      <c r="G532" s="18">
        <v>51941.42</v>
      </c>
      <c r="H532" s="18"/>
      <c r="I532" s="18">
        <v>315.55</v>
      </c>
      <c r="J532" s="18"/>
      <c r="K532" s="18"/>
      <c r="L532" s="88">
        <f>SUM(F532:K532)</f>
        <v>147749.37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83976.86</v>
      </c>
      <c r="G533" s="18">
        <v>45677.75</v>
      </c>
      <c r="H533" s="18"/>
      <c r="I533" s="18">
        <v>0</v>
      </c>
      <c r="J533" s="18"/>
      <c r="K533" s="18"/>
      <c r="L533" s="88">
        <f>SUM(F533:K533)</f>
        <v>129654.61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269398.99</v>
      </c>
      <c r="G534" s="89">
        <f t="shared" ref="G534:L534" si="38">SUM(G531:G533)</f>
        <v>146534.88</v>
      </c>
      <c r="H534" s="89">
        <f t="shared" si="38"/>
        <v>0</v>
      </c>
      <c r="I534" s="89">
        <f t="shared" si="38"/>
        <v>746.14</v>
      </c>
      <c r="J534" s="89">
        <f t="shared" si="38"/>
        <v>0</v>
      </c>
      <c r="K534" s="89">
        <f t="shared" si="38"/>
        <v>0</v>
      </c>
      <c r="L534" s="89">
        <f t="shared" si="38"/>
        <v>416680.01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f>28960.15/2</f>
        <v>14480.075000000001</v>
      </c>
      <c r="I536" s="18"/>
      <c r="J536" s="18"/>
      <c r="K536" s="18"/>
      <c r="L536" s="88">
        <f>SUM(F536:K536)</f>
        <v>14480.075000000001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f>28960.15/2</f>
        <v>14480.075000000001</v>
      </c>
      <c r="I537" s="18"/>
      <c r="J537" s="18"/>
      <c r="K537" s="18"/>
      <c r="L537" s="88">
        <f>SUM(F537:K537)</f>
        <v>14480.075000000001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28960.15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28960.15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98037.06</v>
      </c>
      <c r="I541" s="18"/>
      <c r="J541" s="18"/>
      <c r="K541" s="18"/>
      <c r="L541" s="88">
        <f>SUM(F541:K541)</f>
        <v>98037.06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73601.399999999994</v>
      </c>
      <c r="I542" s="18"/>
      <c r="J542" s="18"/>
      <c r="K542" s="18"/>
      <c r="L542" s="88">
        <f>SUM(F542:K542)</f>
        <v>73601.399999999994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122767.13</v>
      </c>
      <c r="I543" s="18"/>
      <c r="J543" s="18"/>
      <c r="K543" s="18"/>
      <c r="L543" s="88">
        <f>SUM(F543:K543)</f>
        <v>122767.13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294405.58999999997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294405.58999999997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2548907.4299999997</v>
      </c>
      <c r="G545" s="89">
        <f t="shared" ref="G545:L545" si="41">G524+G529+G534+G539+G544</f>
        <v>1337564.0099999998</v>
      </c>
      <c r="H545" s="89">
        <f t="shared" si="41"/>
        <v>2152955.75</v>
      </c>
      <c r="I545" s="89">
        <f t="shared" si="41"/>
        <v>14677.869999999999</v>
      </c>
      <c r="J545" s="89">
        <f t="shared" si="41"/>
        <v>12846.509999999998</v>
      </c>
      <c r="K545" s="89">
        <f t="shared" si="41"/>
        <v>1859.5700000000002</v>
      </c>
      <c r="L545" s="89">
        <f t="shared" si="41"/>
        <v>6068811.1400000006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1592958.87</v>
      </c>
      <c r="G549" s="87">
        <f>L526</f>
        <v>409141.61000000004</v>
      </c>
      <c r="H549" s="87">
        <f>L531</f>
        <v>139276.03</v>
      </c>
      <c r="I549" s="87">
        <f>L536</f>
        <v>14480.075000000001</v>
      </c>
      <c r="J549" s="87">
        <f>L541</f>
        <v>98037.06</v>
      </c>
      <c r="K549" s="87">
        <f>SUM(F549:J549)</f>
        <v>2253893.6450000005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1801437.6800000004</v>
      </c>
      <c r="G550" s="87">
        <f>L527</f>
        <v>183573.58000000002</v>
      </c>
      <c r="H550" s="87">
        <f>L532</f>
        <v>147749.37</v>
      </c>
      <c r="I550" s="87">
        <f>L537</f>
        <v>14480.075000000001</v>
      </c>
      <c r="J550" s="87">
        <f>L542</f>
        <v>73601.399999999994</v>
      </c>
      <c r="K550" s="87">
        <f>SUM(F550:J550)</f>
        <v>2220842.1050000004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1325986.8400000001</v>
      </c>
      <c r="G551" s="87">
        <f>L528</f>
        <v>15666.810000000001</v>
      </c>
      <c r="H551" s="87">
        <f>L533</f>
        <v>129654.61</v>
      </c>
      <c r="I551" s="87">
        <f>L538</f>
        <v>0</v>
      </c>
      <c r="J551" s="87">
        <f>L543</f>
        <v>122767.13</v>
      </c>
      <c r="K551" s="87">
        <f>SUM(F551:J551)</f>
        <v>1594075.3900000001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4720383.3900000006</v>
      </c>
      <c r="G552" s="89">
        <f t="shared" si="42"/>
        <v>608382.00000000012</v>
      </c>
      <c r="H552" s="89">
        <f t="shared" si="42"/>
        <v>416680.01</v>
      </c>
      <c r="I552" s="89">
        <f t="shared" si="42"/>
        <v>28960.15</v>
      </c>
      <c r="J552" s="89">
        <f t="shared" si="42"/>
        <v>294405.58999999997</v>
      </c>
      <c r="K552" s="89">
        <f t="shared" si="42"/>
        <v>6068811.1400000006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>
        <v>4789949.1399999997</v>
      </c>
      <c r="I577" s="87">
        <f t="shared" si="47"/>
        <v>4789949.1399999997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44873.27</v>
      </c>
      <c r="I579" s="87">
        <f t="shared" si="47"/>
        <v>44873.27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>
        <v>832213.88</v>
      </c>
      <c r="I581" s="87">
        <f t="shared" si="47"/>
        <v>832213.88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114086.54</v>
      </c>
      <c r="G582" s="18">
        <v>167927.72</v>
      </c>
      <c r="H582" s="18">
        <v>411909.52</v>
      </c>
      <c r="I582" s="87">
        <f t="shared" si="47"/>
        <v>693923.78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>
        <v>94998.55</v>
      </c>
      <c r="I583" s="87">
        <f t="shared" si="47"/>
        <v>94998.55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179841.27</v>
      </c>
      <c r="I591" s="18">
        <v>188624.22</v>
      </c>
      <c r="J591" s="18">
        <v>179841.27</v>
      </c>
      <c r="K591" s="104">
        <f t="shared" ref="K591:K597" si="48">SUM(H591:J591)</f>
        <v>548306.76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98037.06</v>
      </c>
      <c r="I592" s="18">
        <v>73601.399999999994</v>
      </c>
      <c r="J592" s="18">
        <v>122767.13</v>
      </c>
      <c r="K592" s="104">
        <f t="shared" si="48"/>
        <v>294405.58999999997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9217.7900000000009</v>
      </c>
      <c r="J594" s="18"/>
      <c r="K594" s="104">
        <f t="shared" si="48"/>
        <v>9217.7900000000009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>
        <v>1473.1</v>
      </c>
      <c r="J595" s="18"/>
      <c r="K595" s="104">
        <f t="shared" si="48"/>
        <v>1473.1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277878.32999999996</v>
      </c>
      <c r="I598" s="108">
        <f>SUM(I591:I597)</f>
        <v>272916.50999999995</v>
      </c>
      <c r="J598" s="108">
        <f>SUM(J591:J597)</f>
        <v>302608.40000000002</v>
      </c>
      <c r="K598" s="108">
        <f>SUM(K591:K597)</f>
        <v>853403.24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66833.58</v>
      </c>
      <c r="I604" s="18">
        <v>67550.27</v>
      </c>
      <c r="J604" s="18"/>
      <c r="K604" s="104">
        <f>SUM(H604:J604)</f>
        <v>134383.85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66833.58</v>
      </c>
      <c r="I605" s="108">
        <f>SUM(I602:I604)</f>
        <v>67550.27</v>
      </c>
      <c r="J605" s="108">
        <f>SUM(J602:J604)</f>
        <v>0</v>
      </c>
      <c r="K605" s="108">
        <f>SUM(K602:K604)</f>
        <v>134383.85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1506846.03</v>
      </c>
      <c r="H617" s="109">
        <f>SUM(F52)</f>
        <v>1506846.0300000017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128807.48000000001</v>
      </c>
      <c r="H618" s="109">
        <f>SUM(G52)</f>
        <v>128807.48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112624.48</v>
      </c>
      <c r="H619" s="109">
        <f>SUM(H52)</f>
        <v>112624.48000000001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564879.18999999994</v>
      </c>
      <c r="H621" s="109">
        <f>SUM(J52)</f>
        <v>564879.18999999994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1287635.4200000018</v>
      </c>
      <c r="H622" s="109">
        <f>F476</f>
        <v>1287635.4200000018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6837.62</v>
      </c>
      <c r="H623" s="109">
        <f>G476</f>
        <v>6837.6199999999953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564879.18999999994</v>
      </c>
      <c r="H626" s="109">
        <f>J476</f>
        <v>564879.19000000006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23370940.98</v>
      </c>
      <c r="H627" s="104">
        <f>SUM(F468)</f>
        <v>23370940.98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305216.31</v>
      </c>
      <c r="H628" s="104">
        <f>SUM(G468)</f>
        <v>305216.31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339776.47000000003</v>
      </c>
      <c r="H629" s="104">
        <f>SUM(H468)</f>
        <v>339776.47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76191.600000000006</v>
      </c>
      <c r="H631" s="104">
        <f>SUM(J468)</f>
        <v>76191.600000000006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23420312.810000002</v>
      </c>
      <c r="H632" s="104">
        <f>SUM(F472)</f>
        <v>23420312.809999999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339776.47</v>
      </c>
      <c r="H633" s="104">
        <f>SUM(H472)</f>
        <v>339776.47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144426.87</v>
      </c>
      <c r="H634" s="104">
        <f>I369</f>
        <v>144426.87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298378.69000000006</v>
      </c>
      <c r="H635" s="104">
        <f>SUM(G472)</f>
        <v>298378.69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76191.600000000006</v>
      </c>
      <c r="H637" s="164">
        <f>SUM(J468)</f>
        <v>76191.600000000006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564879.18999999994</v>
      </c>
      <c r="H639" s="104">
        <f>SUM(F461)</f>
        <v>564879.18999999994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564879.18999999994</v>
      </c>
      <c r="H642" s="104">
        <f>SUM(I461)</f>
        <v>564879.18999999994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1191.5999999999999</v>
      </c>
      <c r="H644" s="104">
        <f>H408</f>
        <v>1191.5999999999999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75000</v>
      </c>
      <c r="H645" s="104">
        <f>G408</f>
        <v>75000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76191.600000000006</v>
      </c>
      <c r="H646" s="104">
        <f>L408</f>
        <v>76191.600000000006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853403.24</v>
      </c>
      <c r="H647" s="104">
        <f>L208+L226+L244</f>
        <v>853403.24000000011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134383.85</v>
      </c>
      <c r="H648" s="104">
        <f>(J257+J338)-(J255+J336)</f>
        <v>134383.85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277878.33</v>
      </c>
      <c r="H649" s="104">
        <f>H598</f>
        <v>277878.32999999996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272916.51</v>
      </c>
      <c r="H650" s="104">
        <f>I598</f>
        <v>272916.50999999995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302608.40000000002</v>
      </c>
      <c r="H651" s="104">
        <f>J598</f>
        <v>302608.40000000002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75000</v>
      </c>
      <c r="H655" s="104">
        <f>K266+K347</f>
        <v>75000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8376615.9100000011</v>
      </c>
      <c r="G660" s="19">
        <f>(L229+L309+L359)</f>
        <v>8601484.3900000006</v>
      </c>
      <c r="H660" s="19">
        <f>(L247+L328+L360)</f>
        <v>6680675.9900000002</v>
      </c>
      <c r="I660" s="19">
        <f>SUM(F660:H660)</f>
        <v>23658776.289999999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120074.52482992665</v>
      </c>
      <c r="G661" s="19">
        <f>(L359/IF(SUM(L358:L360)=0,1,SUM(L358:L360))*(SUM(G97:G110)))</f>
        <v>118403.21517007331</v>
      </c>
      <c r="H661" s="19">
        <f>(L360/IF(SUM(L358:L360)=0,1,SUM(L358:L360))*(SUM(G97:G110)))</f>
        <v>0</v>
      </c>
      <c r="I661" s="19">
        <f>SUM(F661:H661)</f>
        <v>238477.73999999996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277878.33</v>
      </c>
      <c r="G662" s="19">
        <f>(L226+L306)-(J226+J306)</f>
        <v>272916.51</v>
      </c>
      <c r="H662" s="19">
        <f>(L244+L325)-(J244+J325)</f>
        <v>302608.40000000002</v>
      </c>
      <c r="I662" s="19">
        <f>SUM(F662:H662)</f>
        <v>853403.24000000011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180920.12</v>
      </c>
      <c r="G663" s="199">
        <f>SUM(G575:G587)+SUM(I602:I604)+L612</f>
        <v>235477.99</v>
      </c>
      <c r="H663" s="199">
        <f>SUM(H575:H587)+SUM(J602:J604)+L613</f>
        <v>6173944.3599999985</v>
      </c>
      <c r="I663" s="19">
        <f>SUM(F663:H663)</f>
        <v>6590342.4699999988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7797742.9351700749</v>
      </c>
      <c r="G664" s="19">
        <f>G660-SUM(G661:G663)</f>
        <v>7974686.6748299273</v>
      </c>
      <c r="H664" s="19">
        <f>H660-SUM(H661:H663)</f>
        <v>204123.23000000138</v>
      </c>
      <c r="I664" s="19">
        <f>I660-SUM(I661:I663)</f>
        <v>15976552.84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14.76+59.02+335.98</f>
        <v>409.76</v>
      </c>
      <c r="G665" s="248">
        <v>455.28</v>
      </c>
      <c r="H665" s="248"/>
      <c r="I665" s="19">
        <f>SUM(F665:H665)</f>
        <v>865.04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19030.02</v>
      </c>
      <c r="G667" s="19">
        <f>ROUND(G664/G665,2)</f>
        <v>17516</v>
      </c>
      <c r="H667" s="19" t="e">
        <f>ROUND(H664/H665,2)</f>
        <v>#DIV/0!</v>
      </c>
      <c r="I667" s="19">
        <f>ROUND(I664/I665,2)</f>
        <v>18469.150000000001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-204123.23</v>
      </c>
      <c r="I669" s="19">
        <f>SUM(F669:H669)</f>
        <v>-204123.23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19030.02</v>
      </c>
      <c r="G672" s="19">
        <f>ROUND((G664+G669)/(G665+G670),2)</f>
        <v>17516</v>
      </c>
      <c r="H672" s="19" t="e">
        <f>ROUND((H664+H669)/(H665+H670),2)</f>
        <v>#DIV/0!</v>
      </c>
      <c r="I672" s="19">
        <f>ROUND((I664+I669)/(I665+I670),2)</f>
        <v>18233.18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sqref="A1: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Hampstead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4854716.3600000003</v>
      </c>
      <c r="C9" s="229">
        <f>'DOE25'!G197+'DOE25'!G215+'DOE25'!G233+'DOE25'!G276+'DOE25'!G295+'DOE25'!G314</f>
        <v>2606106.13</v>
      </c>
    </row>
    <row r="10" spans="1:3" x14ac:dyDescent="0.2">
      <c r="A10" t="s">
        <v>778</v>
      </c>
      <c r="B10" s="240">
        <v>4318122.0199999996</v>
      </c>
      <c r="C10" s="240">
        <f>(C$9/B$9)*B10</f>
        <v>2318051.8555382667</v>
      </c>
    </row>
    <row r="11" spans="1:3" x14ac:dyDescent="0.2">
      <c r="A11" t="s">
        <v>779</v>
      </c>
      <c r="B11" s="240">
        <v>210433.99</v>
      </c>
      <c r="C11" s="240">
        <f>(C$9/B$9)*B11</f>
        <v>112965.05720044962</v>
      </c>
    </row>
    <row r="12" spans="1:3" x14ac:dyDescent="0.2">
      <c r="A12" t="s">
        <v>780</v>
      </c>
      <c r="B12" s="240">
        <v>326160.34999999998</v>
      </c>
      <c r="C12" s="240">
        <f>(C$9/B$9)*B12</f>
        <v>175089.21726128308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4854716.3599999994</v>
      </c>
      <c r="C13" s="231">
        <f>SUM(C10:C12)</f>
        <v>2606106.1299999994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2161129.35</v>
      </c>
      <c r="C18" s="229">
        <f>'DOE25'!G198+'DOE25'!G216+'DOE25'!G234+'DOE25'!G277+'DOE25'!G296+'DOE25'!G315</f>
        <v>1125445.72</v>
      </c>
    </row>
    <row r="19" spans="1:3" x14ac:dyDescent="0.2">
      <c r="A19" t="s">
        <v>778</v>
      </c>
      <c r="B19" s="240">
        <v>1083931.33</v>
      </c>
      <c r="C19" s="240">
        <f>(C$18/B$18)*B19</f>
        <v>564476.10418247641</v>
      </c>
    </row>
    <row r="20" spans="1:3" x14ac:dyDescent="0.2">
      <c r="A20" t="s">
        <v>779</v>
      </c>
      <c r="B20" s="240">
        <v>699048</v>
      </c>
      <c r="C20" s="240">
        <f t="shared" ref="C20:C21" si="0">(C$18/B$18)*B20</f>
        <v>364041.41180839541</v>
      </c>
    </row>
    <row r="21" spans="1:3" x14ac:dyDescent="0.2">
      <c r="A21" t="s">
        <v>780</v>
      </c>
      <c r="B21" s="240">
        <v>378150.02</v>
      </c>
      <c r="C21" s="240">
        <f t="shared" si="0"/>
        <v>196928.20400912809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2161129.35</v>
      </c>
      <c r="C22" s="231">
        <f>SUM(C19:C21)</f>
        <v>1125445.72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>
        <v>0</v>
      </c>
      <c r="C28" s="240">
        <v>0</v>
      </c>
    </row>
    <row r="29" spans="1:3" x14ac:dyDescent="0.2">
      <c r="A29" t="s">
        <v>779</v>
      </c>
      <c r="B29" s="240">
        <v>0</v>
      </c>
      <c r="C29" s="240">
        <v>0</v>
      </c>
    </row>
    <row r="30" spans="1:3" x14ac:dyDescent="0.2">
      <c r="A30" t="s">
        <v>780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48765.4</v>
      </c>
      <c r="C36" s="235">
        <f>'DOE25'!G200+'DOE25'!G218+'DOE25'!G236+'DOE25'!G279+'DOE25'!G298+'DOE25'!G317</f>
        <v>26525.079999999998</v>
      </c>
    </row>
    <row r="37" spans="1:3" x14ac:dyDescent="0.2">
      <c r="A37" t="s">
        <v>778</v>
      </c>
      <c r="B37" s="240">
        <v>45065.4</v>
      </c>
      <c r="C37" s="240">
        <f>(C$36/B$36)*B37</f>
        <v>24512.530200346966</v>
      </c>
    </row>
    <row r="38" spans="1:3" x14ac:dyDescent="0.2">
      <c r="A38" t="s">
        <v>779</v>
      </c>
      <c r="B38" s="240">
        <v>0</v>
      </c>
      <c r="C38" s="240">
        <f t="shared" ref="C38:C39" si="1">(C$36/B$36)*B38</f>
        <v>0</v>
      </c>
    </row>
    <row r="39" spans="1:3" x14ac:dyDescent="0.2">
      <c r="A39" t="s">
        <v>780</v>
      </c>
      <c r="B39" s="240">
        <v>3700</v>
      </c>
      <c r="C39" s="240">
        <f t="shared" si="1"/>
        <v>2012.5497996530326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48765.4</v>
      </c>
      <c r="C40" s="231">
        <f>SUM(C37:C39)</f>
        <v>26525.079999999998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1" activePane="bottomLeft" state="frozen"/>
      <selection activeCell="F46" sqref="F46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Hampstead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17749794.700000003</v>
      </c>
      <c r="D5" s="20">
        <f>SUM('DOE25'!L197:L200)+SUM('DOE25'!L215:L218)+SUM('DOE25'!L233:L236)-F5-G5</f>
        <v>17634020.840000004</v>
      </c>
      <c r="E5" s="243"/>
      <c r="F5" s="255">
        <f>SUM('DOE25'!J197:J200)+SUM('DOE25'!J215:J218)+SUM('DOE25'!J233:J236)</f>
        <v>90239.34</v>
      </c>
      <c r="G5" s="53">
        <f>SUM('DOE25'!K197:K200)+SUM('DOE25'!K215:K218)+SUM('DOE25'!K233:K236)</f>
        <v>25534.52</v>
      </c>
      <c r="H5" s="259"/>
    </row>
    <row r="6" spans="1:9" x14ac:dyDescent="0.2">
      <c r="A6" s="32">
        <v>2100</v>
      </c>
      <c r="B6" t="s">
        <v>800</v>
      </c>
      <c r="C6" s="245">
        <f t="shared" si="0"/>
        <v>1114626.1600000001</v>
      </c>
      <c r="D6" s="20">
        <f>'DOE25'!L202+'DOE25'!L220+'DOE25'!L238-F6-G6</f>
        <v>1109220.8500000001</v>
      </c>
      <c r="E6" s="243"/>
      <c r="F6" s="255">
        <f>'DOE25'!J202+'DOE25'!J220+'DOE25'!J238</f>
        <v>2212.11</v>
      </c>
      <c r="G6" s="53">
        <f>'DOE25'!K202+'DOE25'!K220+'DOE25'!K238</f>
        <v>3193.2</v>
      </c>
      <c r="H6" s="259"/>
    </row>
    <row r="7" spans="1:9" x14ac:dyDescent="0.2">
      <c r="A7" s="32">
        <v>2200</v>
      </c>
      <c r="B7" t="s">
        <v>833</v>
      </c>
      <c r="C7" s="245">
        <f t="shared" si="0"/>
        <v>319676.25</v>
      </c>
      <c r="D7" s="20">
        <f>'DOE25'!L203+'DOE25'!L221+'DOE25'!L239-F7-G7</f>
        <v>319210.15000000002</v>
      </c>
      <c r="E7" s="243"/>
      <c r="F7" s="255">
        <f>'DOE25'!J203+'DOE25'!J221+'DOE25'!J239</f>
        <v>466.1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402931.92999999993</v>
      </c>
      <c r="D8" s="243"/>
      <c r="E8" s="20">
        <f>'DOE25'!L204+'DOE25'!L222+'DOE25'!L240-F8-G8-D9-D11</f>
        <v>390739.51999999996</v>
      </c>
      <c r="F8" s="255">
        <f>'DOE25'!J204+'DOE25'!J222+'DOE25'!J240</f>
        <v>0</v>
      </c>
      <c r="G8" s="53">
        <f>'DOE25'!K204+'DOE25'!K222+'DOE25'!K240</f>
        <v>12192.41</v>
      </c>
      <c r="H8" s="259"/>
    </row>
    <row r="9" spans="1:9" x14ac:dyDescent="0.2">
      <c r="A9" s="32">
        <v>2310</v>
      </c>
      <c r="B9" t="s">
        <v>817</v>
      </c>
      <c r="C9" s="245">
        <f t="shared" si="0"/>
        <v>11676</v>
      </c>
      <c r="D9" s="244">
        <f>4000+2360+1250+334.5+246+3485.5</f>
        <v>11676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20740</v>
      </c>
      <c r="D10" s="243"/>
      <c r="E10" s="244">
        <v>20740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130683.79</v>
      </c>
      <c r="D11" s="244">
        <v>130683.79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1009795.99</v>
      </c>
      <c r="D12" s="20">
        <f>'DOE25'!L205+'DOE25'!L223+'DOE25'!L241-F12-G12</f>
        <v>996374.7</v>
      </c>
      <c r="E12" s="243"/>
      <c r="F12" s="255">
        <f>'DOE25'!J205+'DOE25'!J223+'DOE25'!J241</f>
        <v>8069.99</v>
      </c>
      <c r="G12" s="53">
        <f>'DOE25'!K205+'DOE25'!K223+'DOE25'!K241</f>
        <v>5351.3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1421189.1999999997</v>
      </c>
      <c r="D14" s="20">
        <f>'DOE25'!L207+'DOE25'!L225+'DOE25'!L243-F14-G14</f>
        <v>1410949.7299999997</v>
      </c>
      <c r="E14" s="243"/>
      <c r="F14" s="255">
        <f>'DOE25'!J207+'DOE25'!J225+'DOE25'!J243</f>
        <v>4515</v>
      </c>
      <c r="G14" s="53">
        <f>'DOE25'!K207+'DOE25'!K225+'DOE25'!K243</f>
        <v>5724.4699999999993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853403.24000000011</v>
      </c>
      <c r="D15" s="20">
        <f>'DOE25'!L208+'DOE25'!L226+'DOE25'!L244-F15-G15</f>
        <v>853403.24000000011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6843.87</v>
      </c>
      <c r="D16" s="243"/>
      <c r="E16" s="20">
        <f>'DOE25'!L209+'DOE25'!L227+'DOE25'!L245-F16-G16</f>
        <v>6843.87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14778.310000000001</v>
      </c>
      <c r="D19" s="20">
        <f>'DOE25'!L253-F19-G19</f>
        <v>14778.310000000001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309913.37000000005</v>
      </c>
      <c r="D22" s="243"/>
      <c r="E22" s="243"/>
      <c r="F22" s="255">
        <f>'DOE25'!L255+'DOE25'!L336</f>
        <v>309913.37000000005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176427.82000000007</v>
      </c>
      <c r="D29" s="20">
        <f>'DOE25'!L358+'DOE25'!L359+'DOE25'!L360-'DOE25'!I367-F29-G29</f>
        <v>158604.82000000007</v>
      </c>
      <c r="E29" s="243"/>
      <c r="F29" s="255">
        <f>'DOE25'!J358+'DOE25'!J359+'DOE25'!J360</f>
        <v>0</v>
      </c>
      <c r="G29" s="53">
        <f>'DOE25'!K358+'DOE25'!K359+'DOE25'!K360</f>
        <v>17823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339776.47</v>
      </c>
      <c r="D31" s="20">
        <f>'DOE25'!L290+'DOE25'!L309+'DOE25'!L328+'DOE25'!L333+'DOE25'!L334+'DOE25'!L335-F31-G31</f>
        <v>310895.15999999997</v>
      </c>
      <c r="E31" s="243"/>
      <c r="F31" s="255">
        <f>'DOE25'!J290+'DOE25'!J309+'DOE25'!J328+'DOE25'!J333+'DOE25'!J334+'DOE25'!J335</f>
        <v>28881.31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22949817.59</v>
      </c>
      <c r="E33" s="246">
        <f>SUM(E5:E31)</f>
        <v>418323.38999999996</v>
      </c>
      <c r="F33" s="246">
        <f>SUM(F5:F31)</f>
        <v>444297.22000000003</v>
      </c>
      <c r="G33" s="246">
        <f>SUM(G5:G31)</f>
        <v>69818.900000000009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418323.38999999996</v>
      </c>
      <c r="E35" s="249"/>
    </row>
    <row r="36" spans="2:8" ht="12" thickTop="1" x14ac:dyDescent="0.2">
      <c r="B36" t="s">
        <v>814</v>
      </c>
      <c r="D36" s="20">
        <f>D33</f>
        <v>22949817.59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B37" sqref="B3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Hampstead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1233091.3600000001</v>
      </c>
      <c r="D8" s="95">
        <f>'DOE25'!G9</f>
        <v>65496.17</v>
      </c>
      <c r="E8" s="95">
        <f>'DOE25'!H9</f>
        <v>112624.48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564879.18999999994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220981.15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36328.239999999998</v>
      </c>
      <c r="D12" s="95">
        <f>'DOE25'!G13</f>
        <v>52678.46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16445.28</v>
      </c>
      <c r="D13" s="95">
        <f>'DOE25'!G14</f>
        <v>5166.8500000000004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5466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1506846.03</v>
      </c>
      <c r="D18" s="41">
        <f>SUM(D8:D17)</f>
        <v>128807.48000000001</v>
      </c>
      <c r="E18" s="41">
        <f>SUM(E8:E17)</f>
        <v>112624.48</v>
      </c>
      <c r="F18" s="41">
        <f>SUM(F8:F17)</f>
        <v>0</v>
      </c>
      <c r="G18" s="41">
        <f>SUM(G8:G17)</f>
        <v>564879.18999999994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112836.1</v>
      </c>
      <c r="E21" s="95">
        <f>'DOE25'!H22</f>
        <v>108145.05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152452.56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65328.05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1430</v>
      </c>
      <c r="D29" s="95">
        <f>'DOE25'!G30</f>
        <v>9133.76</v>
      </c>
      <c r="E29" s="95">
        <f>'DOE25'!H30</f>
        <v>4479.43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219210.61</v>
      </c>
      <c r="D31" s="41">
        <f>SUM(D21:D30)</f>
        <v>121969.86</v>
      </c>
      <c r="E31" s="41">
        <f>SUM(E21:E30)</f>
        <v>112624.48000000001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190359.41</v>
      </c>
      <c r="D34" s="95">
        <f>'DOE25'!G35</f>
        <v>6837.62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200000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564879.18999999994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772276.01000000187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1287635.4200000018</v>
      </c>
      <c r="D50" s="41">
        <f>SUM(D34:D49)</f>
        <v>6837.62</v>
      </c>
      <c r="E50" s="41">
        <f>SUM(E34:E49)</f>
        <v>0</v>
      </c>
      <c r="F50" s="41">
        <f>SUM(F34:F49)</f>
        <v>0</v>
      </c>
      <c r="G50" s="41">
        <f>SUM(G34:G49)</f>
        <v>564879.18999999994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1506846.0300000017</v>
      </c>
      <c r="D51" s="41">
        <f>D50+D31</f>
        <v>128807.48</v>
      </c>
      <c r="E51" s="41">
        <f>E50+E31</f>
        <v>112624.48000000001</v>
      </c>
      <c r="F51" s="41">
        <f>F50+F31</f>
        <v>0</v>
      </c>
      <c r="G51" s="41">
        <f>G50+G31</f>
        <v>564879.18999999994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17758767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190759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1191.5999999999999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238477.74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7128.37</v>
      </c>
      <c r="D61" s="95">
        <f>SUM('DOE25'!G98:G110)</f>
        <v>0</v>
      </c>
      <c r="E61" s="95">
        <f>SUM('DOE25'!H98:H110)</f>
        <v>20952.300000000003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197887.37</v>
      </c>
      <c r="D62" s="130">
        <f>SUM(D57:D61)</f>
        <v>238477.74</v>
      </c>
      <c r="E62" s="130">
        <f>SUM(E57:E61)</f>
        <v>20952.300000000003</v>
      </c>
      <c r="F62" s="130">
        <f>SUM(F57:F61)</f>
        <v>0</v>
      </c>
      <c r="G62" s="130">
        <f>SUM(G57:G61)</f>
        <v>1191.5999999999999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17956654.370000001</v>
      </c>
      <c r="D63" s="22">
        <f>D56+D62</f>
        <v>238477.74</v>
      </c>
      <c r="E63" s="22">
        <f>E56+E62</f>
        <v>20952.300000000003</v>
      </c>
      <c r="F63" s="22">
        <f>F56+F62</f>
        <v>0</v>
      </c>
      <c r="G63" s="22">
        <f>G56+G62</f>
        <v>1191.5999999999999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2749230.19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2389382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5138612.1899999995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180445.31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3484.43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180445.31</v>
      </c>
      <c r="D78" s="130">
        <f>SUM(D72:D77)</f>
        <v>3484.43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5319057.4999999991</v>
      </c>
      <c r="D81" s="130">
        <f>SUM(D79:D80)+D78+D70</f>
        <v>3484.43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95229.11</v>
      </c>
      <c r="D88" s="95">
        <f>SUM('DOE25'!G153:G161)</f>
        <v>63254.14</v>
      </c>
      <c r="E88" s="95">
        <f>SUM('DOE25'!H153:H161)</f>
        <v>318824.17000000004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95229.11</v>
      </c>
      <c r="D91" s="131">
        <f>SUM(D85:D90)</f>
        <v>63254.14</v>
      </c>
      <c r="E91" s="131">
        <f>SUM(E85:E90)</f>
        <v>318824.17000000004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764</v>
      </c>
      <c r="C104" s="86">
        <f>C63+C81+C91+C103</f>
        <v>23370940.98</v>
      </c>
      <c r="D104" s="86">
        <f>D63+D81+D91+D103</f>
        <v>305216.31</v>
      </c>
      <c r="E104" s="86">
        <f>E63+E81+E91+E103</f>
        <v>339776.47000000003</v>
      </c>
      <c r="F104" s="86">
        <f>F63+F81+F91+F103</f>
        <v>0</v>
      </c>
      <c r="G104" s="86">
        <f>G63+G81+G103</f>
        <v>76191.600000000006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12638859.120000001</v>
      </c>
      <c r="D109" s="24" t="s">
        <v>288</v>
      </c>
      <c r="E109" s="95">
        <f>('DOE25'!L276)+('DOE25'!L295)+('DOE25'!L314)</f>
        <v>86824.6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5017656.9800000004</v>
      </c>
      <c r="D110" s="24" t="s">
        <v>288</v>
      </c>
      <c r="E110" s="95">
        <f>('DOE25'!L277)+('DOE25'!L296)+('DOE25'!L315)</f>
        <v>122316.73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93278.6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14778.310000000001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17764573.010000002</v>
      </c>
      <c r="D115" s="86">
        <f>SUM(D109:D114)</f>
        <v>0</v>
      </c>
      <c r="E115" s="86">
        <f>SUM(E109:E114)</f>
        <v>209141.33000000002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1114626.1600000001</v>
      </c>
      <c r="D118" s="24" t="s">
        <v>288</v>
      </c>
      <c r="E118" s="95">
        <f>+('DOE25'!L281)+('DOE25'!L300)+('DOE25'!L319)</f>
        <v>90044.62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319676.25</v>
      </c>
      <c r="D119" s="24" t="s">
        <v>288</v>
      </c>
      <c r="E119" s="95">
        <f>+('DOE25'!L282)+('DOE25'!L301)+('DOE25'!L320)</f>
        <v>40590.520000000004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545291.72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1009795.99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1421189.1999999997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853403.24000000011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6843.87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298378.69000000006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5270826.4300000006</v>
      </c>
      <c r="D128" s="86">
        <f>SUM(D118:D127)</f>
        <v>298378.69000000006</v>
      </c>
      <c r="E128" s="86">
        <f>SUM(E118:E127)</f>
        <v>130635.14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309913.37000000005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76191.600000000006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-1191.6000000000058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384913.37000000011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23420312.810000002</v>
      </c>
      <c r="D145" s="86">
        <f>(D115+D128+D144)</f>
        <v>298378.69000000006</v>
      </c>
      <c r="E145" s="86">
        <f>(E115+E128+E144)</f>
        <v>339776.47000000003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G19" sqref="G1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Hampstead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19030</v>
      </c>
    </row>
    <row r="5" spans="1:4" x14ac:dyDescent="0.2">
      <c r="B5" t="s">
        <v>703</v>
      </c>
      <c r="C5" s="179">
        <f>IF('DOE25'!G665+'DOE25'!G670=0,0,ROUND('DOE25'!G672,0))</f>
        <v>17516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18233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12725684</v>
      </c>
      <c r="D10" s="182">
        <f>ROUND((C10/$C$28)*100,1)</f>
        <v>54.3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5139974</v>
      </c>
      <c r="D11" s="182">
        <f>ROUND((C11/$C$28)*100,1)</f>
        <v>21.9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93279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1204671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360267</v>
      </c>
      <c r="D16" s="182">
        <f t="shared" si="0"/>
        <v>1.5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552136</v>
      </c>
      <c r="D17" s="182">
        <f t="shared" si="0"/>
        <v>2.4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1009796</v>
      </c>
      <c r="D18" s="182">
        <f t="shared" si="0"/>
        <v>4.3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1421189</v>
      </c>
      <c r="D20" s="182">
        <f t="shared" si="0"/>
        <v>6.1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853403</v>
      </c>
      <c r="D21" s="182">
        <f t="shared" si="0"/>
        <v>3.6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14778</v>
      </c>
      <c r="D24" s="182">
        <f t="shared" si="0"/>
        <v>0.1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59901.260000000009</v>
      </c>
      <c r="D27" s="182">
        <f t="shared" si="0"/>
        <v>0.3</v>
      </c>
    </row>
    <row r="28" spans="1:4" x14ac:dyDescent="0.2">
      <c r="B28" s="187" t="s">
        <v>722</v>
      </c>
      <c r="C28" s="180">
        <f>SUM(C10:C27)</f>
        <v>23435078.260000002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309913</v>
      </c>
    </row>
    <row r="30" spans="1:4" x14ac:dyDescent="0.2">
      <c r="B30" s="187" t="s">
        <v>728</v>
      </c>
      <c r="C30" s="180">
        <f>SUM(C28:C29)</f>
        <v>23744991.260000002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17758767</v>
      </c>
      <c r="D35" s="182">
        <f t="shared" ref="D35:D40" si="1">ROUND((C35/$C$41)*100,1)</f>
        <v>74.7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220031.27000000328</v>
      </c>
      <c r="D36" s="182">
        <f t="shared" si="1"/>
        <v>0.9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5138612</v>
      </c>
      <c r="D37" s="182">
        <f t="shared" si="1"/>
        <v>21.6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183930</v>
      </c>
      <c r="D38" s="182">
        <f t="shared" si="1"/>
        <v>0.8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477307</v>
      </c>
      <c r="D39" s="182">
        <f t="shared" si="1"/>
        <v>2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23778647.270000003</v>
      </c>
      <c r="D41" s="184">
        <f>SUM(D35:D40)</f>
        <v>100.00000000000001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Hampstead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2017-11-02T16:40:07Z</cp:lastPrinted>
  <dcterms:created xsi:type="dcterms:W3CDTF">1997-12-04T19:04:30Z</dcterms:created>
  <dcterms:modified xsi:type="dcterms:W3CDTF">2017-11-29T17:27:25Z</dcterms:modified>
</cp:coreProperties>
</file>