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workbookProtection workbookPassword="AB0A" lockStructure="1"/>
  <bookViews>
    <workbookView xWindow="1365" yWindow="465" windowWidth="3019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B37" i="12"/>
  <c r="C21" i="12"/>
  <c r="C10" i="12"/>
  <c r="C11" i="12"/>
  <c r="C20" i="12"/>
  <c r="B21" i="12"/>
  <c r="B20" i="12"/>
  <c r="B19" i="12"/>
  <c r="C12" i="12"/>
  <c r="B12" i="12"/>
  <c r="B11" i="12"/>
  <c r="B10" i="12"/>
  <c r="H604" i="1"/>
  <c r="G562" i="1"/>
  <c r="F562" i="1"/>
  <c r="F521" i="1"/>
  <c r="G521" i="1"/>
  <c r="H531" i="1"/>
  <c r="F531" i="1"/>
  <c r="F526" i="1"/>
  <c r="J521" i="1"/>
  <c r="I521" i="1"/>
  <c r="H521" i="1"/>
  <c r="J96" i="1"/>
  <c r="H282" i="1"/>
  <c r="H277" i="1"/>
  <c r="G197" i="1"/>
  <c r="G205" i="1"/>
  <c r="G203" i="1"/>
  <c r="F63" i="1"/>
  <c r="G499" i="1"/>
  <c r="J468" i="1"/>
  <c r="H397" i="1"/>
  <c r="I250" i="1"/>
  <c r="H250" i="1"/>
  <c r="H159" i="1"/>
  <c r="H155" i="1"/>
  <c r="H154" i="1"/>
  <c r="F368" i="1"/>
  <c r="I358" i="1"/>
  <c r="H358" i="1"/>
  <c r="F358" i="1"/>
  <c r="F57" i="1"/>
  <c r="I397" i="1"/>
  <c r="J110" i="1"/>
  <c r="H203" i="1"/>
  <c r="F203" i="1"/>
  <c r="J203" i="1"/>
  <c r="I203" i="1"/>
  <c r="H202" i="1"/>
  <c r="F202" i="1"/>
  <c r="I202" i="1"/>
  <c r="H207" i="1"/>
  <c r="J207" i="1"/>
  <c r="I207" i="1"/>
  <c r="F207" i="1"/>
  <c r="K205" i="1"/>
  <c r="I205" i="1"/>
  <c r="H205" i="1"/>
  <c r="F205" i="1"/>
  <c r="H204" i="1"/>
  <c r="I204" i="1"/>
  <c r="J204" i="1"/>
  <c r="K204" i="1"/>
  <c r="F204" i="1"/>
  <c r="J465" i="1"/>
  <c r="H200" i="1"/>
  <c r="F200" i="1"/>
  <c r="H198" i="1"/>
  <c r="I198" i="1"/>
  <c r="F198" i="1"/>
  <c r="F197" i="1"/>
  <c r="J197" i="1"/>
  <c r="I197" i="1"/>
  <c r="H197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/>
  <c r="C63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/>
  <c r="F128" i="2"/>
  <c r="G128" i="2"/>
  <c r="C130" i="2"/>
  <c r="E130" i="2"/>
  <c r="F130" i="2"/>
  <c r="F144" i="2" s="1"/>
  <c r="F145" i="2" s="1"/>
  <c r="D134" i="2"/>
  <c r="D144" i="2"/>
  <c r="D145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I19" i="1"/>
  <c r="F32" i="1"/>
  <c r="F52" i="1"/>
  <c r="G32" i="1"/>
  <c r="H32" i="1"/>
  <c r="I32" i="1"/>
  <c r="H617" i="1"/>
  <c r="G52" i="1"/>
  <c r="H618" i="1"/>
  <c r="H51" i="1"/>
  <c r="H52" i="1"/>
  <c r="H619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/>
  <c r="G650" i="1"/>
  <c r="G651" i="1"/>
  <c r="G652" i="1"/>
  <c r="H652" i="1"/>
  <c r="G653" i="1"/>
  <c r="H653" i="1"/>
  <c r="G654" i="1"/>
  <c r="H654" i="1"/>
  <c r="H655" i="1"/>
  <c r="F192" i="1"/>
  <c r="L256" i="1"/>
  <c r="L257" i="1"/>
  <c r="L271" i="1"/>
  <c r="G632" i="1"/>
  <c r="K257" i="1"/>
  <c r="K271" i="1"/>
  <c r="I257" i="1"/>
  <c r="I271" i="1"/>
  <c r="G257" i="1"/>
  <c r="G271" i="1"/>
  <c r="G164" i="2"/>
  <c r="C18" i="2"/>
  <c r="C26" i="10"/>
  <c r="L328" i="1"/>
  <c r="H660" i="1"/>
  <c r="H664" i="1"/>
  <c r="L351" i="1"/>
  <c r="I662" i="1"/>
  <c r="L290" i="1"/>
  <c r="F660" i="1"/>
  <c r="A31" i="12"/>
  <c r="C70" i="2"/>
  <c r="A40" i="12"/>
  <c r="D12" i="13"/>
  <c r="C12" i="13"/>
  <c r="D62" i="2"/>
  <c r="D63" i="2"/>
  <c r="D18" i="13"/>
  <c r="C18" i="13"/>
  <c r="D15" i="13"/>
  <c r="C15" i="13"/>
  <c r="D7" i="13"/>
  <c r="C7" i="13"/>
  <c r="D18" i="2"/>
  <c r="D17" i="13"/>
  <c r="C17" i="13"/>
  <c r="D6" i="13"/>
  <c r="C6" i="13"/>
  <c r="E8" i="13"/>
  <c r="C8" i="13"/>
  <c r="C91" i="2"/>
  <c r="F78" i="2"/>
  <c r="F81" i="2"/>
  <c r="D31" i="2"/>
  <c r="C128" i="2"/>
  <c r="C78" i="2"/>
  <c r="C81" i="2"/>
  <c r="D50" i="2"/>
  <c r="G157" i="2"/>
  <c r="F18" i="2"/>
  <c r="G161" i="2"/>
  <c r="G156" i="2"/>
  <c r="E115" i="2"/>
  <c r="E103" i="2"/>
  <c r="D91" i="2"/>
  <c r="E62" i="2"/>
  <c r="E63" i="2"/>
  <c r="E31" i="2"/>
  <c r="G62" i="2"/>
  <c r="D29" i="13"/>
  <c r="C29" i="13"/>
  <c r="D19" i="13"/>
  <c r="C19" i="13"/>
  <c r="D14" i="13"/>
  <c r="C14" i="13"/>
  <c r="E13" i="13"/>
  <c r="C13" i="13"/>
  <c r="J617" i="1"/>
  <c r="E78" i="2"/>
  <c r="E81" i="2"/>
  <c r="L427" i="1"/>
  <c r="J257" i="1"/>
  <c r="J271" i="1"/>
  <c r="H112" i="1"/>
  <c r="F112" i="1"/>
  <c r="J641" i="1"/>
  <c r="J639" i="1"/>
  <c r="K605" i="1"/>
  <c r="G648" i="1"/>
  <c r="J571" i="1"/>
  <c r="K571" i="1"/>
  <c r="L433" i="1"/>
  <c r="L419" i="1"/>
  <c r="D81" i="2"/>
  <c r="I169" i="1"/>
  <c r="H169" i="1"/>
  <c r="G552" i="1"/>
  <c r="J644" i="1"/>
  <c r="J643" i="1"/>
  <c r="J476" i="1"/>
  <c r="H626" i="1"/>
  <c r="H476" i="1"/>
  <c r="H624" i="1"/>
  <c r="J624" i="1"/>
  <c r="F476" i="1"/>
  <c r="H622" i="1"/>
  <c r="J622" i="1"/>
  <c r="I476" i="1"/>
  <c r="H625" i="1"/>
  <c r="J625" i="1"/>
  <c r="G476" i="1"/>
  <c r="H623" i="1"/>
  <c r="J623" i="1"/>
  <c r="G338" i="1"/>
  <c r="G352" i="1"/>
  <c r="F169" i="1"/>
  <c r="J140" i="1"/>
  <c r="F571" i="1"/>
  <c r="H257" i="1"/>
  <c r="H271" i="1"/>
  <c r="F664" i="1"/>
  <c r="F672" i="1"/>
  <c r="C4" i="10" s="1"/>
  <c r="I552" i="1"/>
  <c r="K549" i="1"/>
  <c r="K550" i="1"/>
  <c r="G22" i="2"/>
  <c r="K598" i="1"/>
  <c r="G647" i="1"/>
  <c r="J647" i="1"/>
  <c r="K545" i="1"/>
  <c r="J552" i="1"/>
  <c r="H552" i="1"/>
  <c r="C29" i="10"/>
  <c r="I661" i="1"/>
  <c r="H140" i="1"/>
  <c r="L401" i="1"/>
  <c r="C139" i="2"/>
  <c r="L393" i="1"/>
  <c r="A13" i="12"/>
  <c r="F22" i="13"/>
  <c r="H25" i="13"/>
  <c r="C25" i="13"/>
  <c r="J651" i="1"/>
  <c r="J640" i="1"/>
  <c r="J634" i="1"/>
  <c r="H571" i="1"/>
  <c r="L560" i="1"/>
  <c r="J545" i="1"/>
  <c r="H338" i="1"/>
  <c r="H352" i="1"/>
  <c r="F338" i="1"/>
  <c r="F352" i="1"/>
  <c r="G192" i="1"/>
  <c r="H192" i="1"/>
  <c r="E128" i="2"/>
  <c r="F552" i="1"/>
  <c r="C35" i="10"/>
  <c r="L309" i="1"/>
  <c r="D5" i="13"/>
  <c r="C5" i="13"/>
  <c r="E16" i="13"/>
  <c r="E33" i="13"/>
  <c r="D35" i="13" s="1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/>
  <c r="C22" i="13"/>
  <c r="C138" i="2"/>
  <c r="C16" i="13"/>
  <c r="H33" i="13"/>
  <c r="F667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E145" i="2"/>
  <c r="L338" i="1"/>
  <c r="L352" i="1"/>
  <c r="G633" i="1"/>
  <c r="J633" i="1"/>
  <c r="C24" i="10"/>
  <c r="G660" i="1"/>
  <c r="G664" i="1"/>
  <c r="G31" i="13"/>
  <c r="G33" i="13"/>
  <c r="I338" i="1"/>
  <c r="I352" i="1"/>
  <c r="J650" i="1"/>
  <c r="L407" i="1"/>
  <c r="C140" i="2"/>
  <c r="C141" i="2"/>
  <c r="C144" i="2"/>
  <c r="C145" i="2"/>
  <c r="L571" i="1"/>
  <c r="J632" i="1"/>
  <c r="I192" i="1"/>
  <c r="E91" i="2"/>
  <c r="L408" i="1"/>
  <c r="G637" i="1"/>
  <c r="J637" i="1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H667" i="1"/>
  <c r="H672" i="1"/>
  <c r="C6" i="10"/>
  <c r="F31" i="13"/>
  <c r="I660" i="1"/>
  <c r="J193" i="1"/>
  <c r="G646" i="1"/>
  <c r="F104" i="2"/>
  <c r="H193" i="1"/>
  <c r="G629" i="1"/>
  <c r="J629" i="1"/>
  <c r="G169" i="1"/>
  <c r="C39" i="10"/>
  <c r="G140" i="1"/>
  <c r="F140" i="1"/>
  <c r="F193" i="1"/>
  <c r="G627" i="1"/>
  <c r="J627" i="1"/>
  <c r="C36" i="10"/>
  <c r="G63" i="2"/>
  <c r="G104" i="2"/>
  <c r="J618" i="1"/>
  <c r="G667" i="1"/>
  <c r="G672" i="1"/>
  <c r="C5" i="10"/>
  <c r="G42" i="2"/>
  <c r="J51" i="1"/>
  <c r="G16" i="2"/>
  <c r="J19" i="1"/>
  <c r="G621" i="1"/>
  <c r="F33" i="13"/>
  <c r="D31" i="13"/>
  <c r="C31" i="13"/>
  <c r="G18" i="2"/>
  <c r="F545" i="1"/>
  <c r="H434" i="1"/>
  <c r="J620" i="1"/>
  <c r="J619" i="1"/>
  <c r="D103" i="2"/>
  <c r="D104" i="2"/>
  <c r="I140" i="1"/>
  <c r="I193" i="1"/>
  <c r="G630" i="1"/>
  <c r="J630" i="1"/>
  <c r="A22" i="12"/>
  <c r="H646" i="1"/>
  <c r="G50" i="2"/>
  <c r="G51" i="2"/>
  <c r="H648" i="1"/>
  <c r="J648" i="1"/>
  <c r="C104" i="2"/>
  <c r="J652" i="1"/>
  <c r="J642" i="1"/>
  <c r="G571" i="1"/>
  <c r="I434" i="1"/>
  <c r="G434" i="1"/>
  <c r="E104" i="2"/>
  <c r="I663" i="1"/>
  <c r="C27" i="10"/>
  <c r="C28" i="10"/>
  <c r="G635" i="1"/>
  <c r="J635" i="1"/>
  <c r="C51" i="2"/>
  <c r="G631" i="1"/>
  <c r="J631" i="1"/>
  <c r="I664" i="1"/>
  <c r="I672" i="1"/>
  <c r="C7" i="10" s="1"/>
  <c r="D33" i="13"/>
  <c r="D36" i="13"/>
  <c r="J646" i="1"/>
  <c r="G193" i="1"/>
  <c r="G628" i="1"/>
  <c r="J628" i="1"/>
  <c r="G626" i="1"/>
  <c r="J626" i="1"/>
  <c r="J52" i="1"/>
  <c r="H621" i="1"/>
  <c r="J621" i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/>
  <c r="H656" i="1"/>
  <c r="D28" i="10"/>
  <c r="C41" i="10"/>
  <c r="D38" i="10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<sst xmlns="http://schemas.openxmlformats.org/spreadsheetml/2006/main" count="3959" uniqueCount="917">
  <si>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</si>
  <si>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</si>
  <si>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</si>
  <si>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</si>
  <si>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</si>
  <si>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</si>
  <si>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</si>
  <si>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</si>
  <si>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</si>
  <si>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</si>
  <si>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</si>
  <si>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</si>
  <si>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</si>
  <si>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</si>
  <si>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</si>
  <si>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</si>
  <si>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</si>
  <si>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</si>
  <si>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</si>
  <si>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</si>
  <si>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</si>
  <si>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</si>
  <si>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</si>
  <si>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</si>
  <si>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</si>
  <si>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</si>
  <si>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</si>
  <si>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</si>
  <si>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</si>
  <si>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</si>
  <si>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</si>
  <si>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</si>
  <si>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</si>
  <si>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</si>
  <si>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</si>
  <si>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</si>
  <si>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</si>
  <si>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</si>
  <si>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</si>
  <si>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</si>
  <si>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</si>
  <si>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</si>
  <si>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</si>
  <si>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</si>
  <si>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</si>
  <si>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</si>
  <si>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</si>
  <si>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</si>
  <si>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</si>
  <si>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</si>
  <si>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</si>
  <si>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</si>
  <si>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</si>
  <si>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</si>
  <si>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</si>
  <si>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</si>
  <si>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</si>
  <si>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</si>
  <si>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</si>
  <si>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</si>
  <si>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</si>
  <si>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</si>
  <si>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</si>
  <si>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</si>
  <si>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</si>
  <si>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</si>
  <si>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</si>
  <si>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</si>
  <si>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</si>
  <si>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</si>
  <si>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</si>
  <si>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</si>
  <si>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</si>
  <si>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</si>
  <si>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</si>
  <si>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</si>
  <si>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</si>
  <si>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</si>
  <si>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</si>
  <si>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</si>
  <si>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</si>
  <si>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</si>
  <si>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</si>
  <si>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</si>
  <si>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</si>
  <si>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</si>
  <si>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</si>
  <si>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</si>
  <si>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</si>
  <si>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</si>
  <si>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</si>
  <si>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</si>
  <si>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</si>
  <si>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</si>
  <si>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</si>
  <si>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</si>
  <si>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</si>
  <si>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</si>
  <si>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</si>
  <si>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</si>
  <si>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</si>
  <si>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</si>
  <si>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</si>
  <si>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</si>
  <si>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</si>
  <si>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</si>
  <si>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</si>
  <si>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</si>
  <si>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</si>
  <si>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</si>
  <si>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</si>
  <si>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</si>
  <si>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</si>
  <si>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</si>
  <si>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</si>
  <si>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</si>
  <si>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</si>
  <si>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</si>
  <si>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</si>
  <si>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</si>
  <si>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</si>
  <si>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</si>
  <si>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</si>
  <si>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</si>
  <si>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</si>
  <si>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</si>
  <si>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</si>
  <si>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</si>
  <si>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</si>
  <si>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</si>
  <si>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</si>
  <si>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</si>
  <si>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</si>
  <si>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</si>
  <si>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</si>
  <si>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</si>
  <si>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</si>
  <si>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</si>
  <si>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</si>
  <si>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</si>
  <si>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</si>
  <si>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</si>
  <si>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</si>
  <si>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</si>
  <si>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</si>
  <si>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</si>
  <si>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</si>
  <si>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</si>
  <si>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</si>
  <si>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</si>
  <si>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</si>
  <si>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</si>
  <si>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</si>
  <si>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</si>
  <si>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</si>
  <si>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</si>
  <si>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</si>
  <si>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</si>
  <si>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</si>
  <si>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</si>
  <si>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</si>
  <si>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</si>
  <si>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</si>
  <si>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</si>
  <si>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</si>
  <si>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</si>
  <si>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</si>
  <si>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</si>
  <si>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</si>
  <si>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</si>
  <si>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</si>
  <si>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</si>
  <si>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</si>
  <si>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</si>
  <si>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</si>
  <si>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</si>
  <si>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</si>
  <si>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</si>
  <si>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</si>
  <si>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</si>
  <si>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</si>
  <si>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</si>
  <si>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</si>
  <si>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</si>
  <si>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</si>
  <si>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</si>
  <si>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</si>
  <si>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</si>
  <si>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</si>
  <si>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</si>
  <si>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</si>
  <si>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</si>
  <si>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</si>
  <si>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</si>
  <si>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</si>
  <si>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</si>
  <si>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</si>
  <si>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</si>
  <si>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</si>
  <si>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</si>
  <si>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</si>
  <si>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</si>
  <si>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</si>
  <si>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</si>
  <si>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</si>
  <si>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</si>
  <si>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</si>
  <si>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</si>
  <si>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</si>
  <si>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</si>
  <si>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</si>
  <si>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</si>
  <si>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</si>
  <si>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</si>
  <si>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</si>
  <si>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</si>
  <si>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</si>
  <si>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</si>
  <si>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</si>
  <si>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</si>
  <si>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</si>
  <si>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</si>
  <si>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</si>
  <si>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</si>
  <si>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</si>
  <si>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</si>
  <si>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</si>
  <si>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</si>
  <si>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</si>
  <si>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</si>
  <si>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</si>
  <si>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</si>
  <si>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</si>
  <si>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</si>
  <si>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</si>
  <si>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</si>
  <si>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</si>
  <si>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</si>
  <si>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</si>
  <si>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</si>
  <si>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</si>
  <si>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</si>
  <si>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</si>
  <si>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</si>
  <si>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</si>
  <si>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</si>
  <si>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</si>
  <si>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</si>
  <si>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</si>
  <si>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</si>
  <si>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</si>
  <si>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</si>
  <si>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</si>
  <si>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</si>
  <si>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</si>
  <si>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</si>
  <si>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</si>
  <si>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</si>
  <si>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</si>
  <si>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</si>
  <si>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</si>
  <si>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</si>
  <si>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</si>
  <si>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</si>
  <si>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</si>
  <si>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</si>
  <si>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</si>
  <si>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</si>
  <si>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</si>
  <si>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</si>
  <si>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</si>
  <si>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</si>
  <si>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</si>
  <si>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</si>
  <si>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</si>
  <si>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</si>
  <si>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</si>
  <si>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</si>
  <si>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</si>
  <si>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</si>
  <si>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</si>
  <si>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</si>
  <si>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</si>
  <si>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</si>
  <si>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</si>
  <si>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</si>
  <si>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</si>
  <si>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</si>
  <si>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</si>
  <si>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</si>
  <si>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</si>
  <si>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</si>
  <si>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</si>
  <si>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</si>
  <si>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</si>
  <si>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</si>
  <si>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</si>
  <si>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</si>
  <si>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</si>
  <si>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</si>
  <si>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</si>
  <si>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</si>
  <si>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</si>
  <si>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</si>
  <si>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</si>
  <si>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</si>
  <si>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</si>
  <si>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</si>
  <si>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</si>
  <si>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</si>
  <si>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</si>
  <si>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</si>
  <si>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</si>
  <si>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</si>
  <si>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</si>
  <si>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</si>
  <si>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</si>
  <si>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</si>
  <si>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</si>
  <si>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</si>
  <si>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</si>
  <si>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</si>
  <si>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</si>
  <si>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</si>
  <si>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</si>
  <si>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</si>
  <si>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</si>
  <si>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</si>
  <si>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</si>
  <si>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</si>
  <si>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</si>
  <si>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</si>
  <si>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</si>
  <si>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</si>
  <si>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</si>
  <si>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</si>
  <si>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</si>
  <si>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</si>
  <si>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</si>
  <si>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</si>
  <si>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</si>
  <si>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</si>
  <si>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</si>
  <si>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</si>
  <si>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</si>
  <si>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</si>
  <si>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</si>
  <si>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</si>
  <si>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</si>
  <si>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</si>
  <si>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</si>
  <si>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</si>
  <si>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</si>
  <si>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</si>
  <si>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</si>
  <si>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</si>
  <si>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</si>
  <si>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</si>
  <si>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</si>
  <si>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</si>
  <si>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</si>
  <si>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</si>
  <si>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</si>
  <si>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</si>
  <si>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</si>
  <si>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</si>
  <si>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</si>
  <si>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</si>
  <si>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</si>
  <si>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</si>
  <si>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</si>
  <si>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</si>
  <si>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</si>
  <si>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</si>
  <si>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</si>
  <si>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</si>
  <si>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</si>
  <si>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</si>
  <si>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</si>
  <si>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</si>
  <si>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</si>
  <si>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</si>
  <si>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</si>
  <si>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</si>
  <si>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</si>
  <si>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</si>
  <si>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</si>
  <si>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</si>
  <si>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</si>
  <si>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</si>
  <si>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</si>
  <si>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</si>
  <si>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</si>
  <si>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</si>
  <si>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</si>
  <si>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</si>
  <si>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</si>
  <si>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</si>
  <si>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</si>
  <si>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</si>
  <si>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</si>
  <si>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</si>
  <si>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</si>
  <si>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</si>
  <si>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</si>
  <si>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</si>
  <si>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</si>
  <si>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</si>
  <si>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</si>
  <si>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</si>
  <si>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</si>
  <si>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</si>
  <si>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</si>
  <si>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</si>
  <si>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</si>
  <si>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</si>
  <si>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</si>
  <si>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</si>
  <si>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</si>
  <si>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</si>
  <si>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</si>
  <si>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</si>
  <si>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</si>
  <si>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</si>
  <si>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</si>
  <si>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</si>
  <si>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</si>
  <si>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</si>
  <si>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</si>
  <si>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</si>
  <si>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</si>
  <si>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</si>
  <si>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</si>
  <si>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</si>
  <si>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</si>
  <si>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</si>
  <si>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</si>
  <si>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</si>
  <si>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</si>
  <si>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</si>
  <si>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</si>
  <si>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</si>
  <si>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</si>
  <si>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</si>
  <si>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</si>
  <si>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</si>
  <si>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</si>
  <si>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</si>
  <si>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</si>
  <si>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</si>
  <si>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</si>
  <si>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</si>
  <si>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</si>
  <si>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</si>
  <si>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</si>
  <si>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</si>
  <si>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</si>
  <si>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</si>
  <si>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</si>
  <si>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</si>
  <si>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</si>
  <si>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</si>
  <si>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</si>
  <si>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</si>
  <si>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</si>
  <si>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</si>
  <si>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</si>
  <si>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</si>
  <si>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</si>
  <si>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</si>
  <si>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</si>
  <si>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</si>
  <si>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</si>
  <si>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</si>
  <si>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</si>
  <si>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</si>
  <si>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</si>
  <si>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</si>
  <si>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</si>
  <si>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</si>
  <si>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</si>
  <si>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</si>
  <si>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</si>
  <si>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</si>
  <si>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</si>
  <si>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</si>
  <si>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</si>
  <si>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</si>
  <si>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</si>
  <si>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</si>
  <si>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</si>
  <si>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</si>
  <si>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</si>
  <si>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</si>
  <si>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</si>
  <si>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</si>
  <si>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</si>
  <si>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</si>
  <si>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</si>
  <si>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</si>
  <si>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</si>
  <si>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</si>
  <si>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</si>
  <si>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</si>
  <si>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</si>
  <si>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</si>
  <si>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</si>
  <si>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</si>
  <si>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</si>
  <si>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</si>
  <si>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</si>
  <si>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</si>
  <si>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</si>
  <si>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</si>
  <si>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</si>
  <si>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</si>
  <si>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</si>
  <si>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</si>
  <si>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</si>
  <si>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</si>
  <si>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</si>
  <si>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</si>
  <si>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</si>
  <si>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</si>
  <si>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</si>
  <si>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</si>
  <si>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</si>
  <si>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</si>
  <si>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</si>
  <si>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</si>
  <si>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</si>
  <si>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</si>
  <si>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</si>
  <si>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</si>
  <si>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</si>
  <si>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</si>
  <si>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</si>
  <si>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</si>
  <si>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</si>
  <si>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</si>
  <si>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</si>
  <si>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</si>
  <si>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</si>
  <si>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</si>
  <si>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</si>
  <si>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</si>
  <si>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</si>
  <si>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</si>
  <si>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</si>
  <si>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</si>
  <si>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</si>
  <si>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</si>
  <si>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</si>
  <si>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</si>
  <si>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</si>
  <si>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</si>
  <si>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</si>
  <si>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</si>
  <si>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</si>
  <si>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</si>
  <si>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</si>
  <si>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</si>
  <si>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</si>
  <si>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</si>
  <si>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</si>
  <si>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</si>
  <si>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</si>
  <si>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</si>
  <si>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</si>
  <si>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</si>
  <si>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</si>
  <si>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</si>
  <si>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</si>
  <si>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</si>
  <si>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</si>
  <si>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</si>
  <si>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</si>
  <si>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</si>
  <si>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</si>
  <si>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</si>
  <si>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</si>
  <si>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</si>
  <si>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</si>
  <si>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</si>
  <si>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</si>
  <si>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</si>
  <si>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</si>
  <si>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</si>
  <si>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</si>
  <si>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</si>
  <si>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</si>
  <si>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</si>
  <si>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</si>
  <si>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</si>
  <si>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</si>
  <si>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</si>
  <si>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</si>
  <si>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</si>
  <si>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</si>
  <si>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</si>
  <si>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</si>
  <si>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</si>
  <si>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</si>
  <si>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</si>
  <si>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</si>
  <si>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</si>
  <si>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</si>
  <si>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</si>
  <si>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</si>
  <si>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</si>
  <si>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</si>
  <si>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</si>
  <si>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</si>
  <si>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</si>
  <si>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</si>
  <si>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</si>
  <si>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</si>
  <si>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</si>
  <si>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</si>
  <si>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</si>
  <si>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</si>
  <si>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</si>
  <si>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</si>
  <si>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</si>
  <si>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</si>
  <si>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</si>
  <si>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</si>
  <si>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</si>
  <si>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</si>
  <si>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</si>
  <si>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</si>
  <si>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</si>
  <si>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</si>
  <si>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</si>
  <si>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</si>
  <si>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</si>
  <si>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</si>
  <si>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</si>
  <si>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</si>
  <si>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</si>
  <si>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</si>
  <si>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</si>
  <si>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</si>
  <si>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</si>
  <si>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</si>
  <si>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</si>
  <si>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</si>
  <si>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</si>
  <si>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</si>
  <si>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</si>
  <si>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</si>
  <si>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</si>
  <si>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</si>
  <si>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</si>
  <si>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</si>
  <si>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</si>
  <si>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</si>
  <si>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</si>
  <si>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</si>
  <si>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</si>
  <si>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</si>
  <si>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</si>
  <si>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</si>
  <si>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</si>
  <si>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</si>
  <si>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</si>
  <si>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</si>
  <si>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</si>
  <si>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</si>
  <si>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</si>
  <si>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</si>
  <si>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</si>
  <si>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</si>
  <si>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</si>
  <si>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</si>
  <si>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</si>
  <si>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</si>
  <si>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</si>
  <si>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</si>
  <si>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</si>
  <si>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</si>
  <si>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</si>
  <si>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</si>
  <si>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</si>
  <si>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</si>
  <si>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</si>
  <si>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</si>
  <si>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</si>
  <si>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</si>
  <si>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</si>
  <si>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</si>
  <si>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</si>
  <si>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</si>
  <si>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</si>
  <si>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</si>
  <si>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</si>
  <si>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</si>
  <si>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</si>
  <si>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</si>
  <si>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</si>
  <si>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</si>
  <si>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</si>
  <si>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</si>
  <si>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</si>
  <si>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</si>
  <si>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</si>
  <si>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</si>
  <si>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</si>
  <si>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</si>
  <si>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</si>
  <si>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</si>
  <si>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</si>
  <si>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</si>
  <si>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</si>
  <si>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</si>
  <si>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</si>
  <si>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</si>
  <si>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</si>
  <si>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</si>
  <si>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</si>
  <si>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</si>
  <si>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</si>
  <si>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</si>
  <si>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</si>
  <si>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</si>
  <si>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</si>
  <si>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</si>
  <si>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</si>
  <si>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</si>
  <si>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</si>
  <si>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</si>
  <si>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</si>
  <si>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</si>
  <si>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</si>
  <si>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</si>
  <si>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</si>
  <si>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</si>
  <si>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</si>
  <si>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</si>
  <si>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</si>
  <si>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</si>
  <si>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</si>
  <si>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</si>
  <si>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</si>
  <si>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</si>
  <si>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</si>
  <si>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</si>
  <si>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</si>
  <si>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</si>
  <si>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</si>
  <si>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</si>
  <si>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</si>
  <si>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</si>
  <si>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</si>
  <si>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</si>
  <si>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</si>
  <si>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</si>
  <si>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</si>
  <si>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</si>
  <si>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</si>
  <si>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</si>
  <si>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</si>
  <si>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</si>
  <si>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</si>
  <si>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</si>
  <si>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</si>
  <si>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</si>
  <si>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</si>
  <si>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</si>
  <si>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</si>
  <si>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</si>
  <si>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</si>
  <si>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</si>
  <si>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</si>
  <si>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</si>
  <si>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</si>
  <si>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</si>
  <si>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</si>
  <si>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</si>
  <si>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</si>
  <si>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</si>
  <si>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</si>
  <si>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</si>
  <si>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</si>
  <si>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</si>
  <si>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</si>
  <si>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</si>
  <si>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</si>
  <si>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</si>
  <si>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</si>
  <si>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</si>
  <si>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</si>
  <si>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</si>
  <si>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</si>
  <si>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</si>
  <si>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</si>
  <si>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</si>
  <si>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</si>
  <si>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</si>
  <si>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</si>
  <si>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</si>
  <si>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</si>
  <si>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</si>
  <si>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</si>
  <si>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</si>
  <si>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</si>
  <si>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</si>
  <si>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</si>
  <si>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</si>
  <si>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</si>
  <si>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</si>
  <si>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</si>
  <si>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</si>
  <si>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</si>
  <si>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</si>
  <si>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</si>
  <si>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</si>
  <si>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</si>
  <si>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</si>
  <si>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</si>
  <si>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</si>
  <si>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</si>
  <si>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</si>
  <si>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</si>
  <si>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</si>
  <si>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</si>
  <si>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</si>
  <si>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</si>
  <si>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</si>
  <si>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</si>
  <si>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</si>
  <si>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</si>
  <si>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</si>
  <si>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</si>
  <si>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</si>
  <si>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</si>
  <si>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</si>
  <si>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</si>
  <si>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</si>
  <si>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</si>
  <si>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</si>
  <si>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</si>
  <si>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</si>
  <si>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</si>
  <si>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</si>
  <si>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</si>
  <si>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</si>
  <si>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</si>
  <si>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</si>
  <si>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</si>
  <si>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</si>
  <si>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</si>
  <si>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</si>
  <si>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</si>
  <si>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</si>
  <si>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</si>
  <si>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</si>
  <si>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</si>
  <si>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</si>
  <si>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</si>
  <si>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</si>
  <si>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</si>
  <si>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</si>
  <si>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</si>
  <si>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</si>
  <si>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</si>
  <si>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</si>
  <si>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</si>
  <si>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</si>
  <si>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</si>
  <si>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</si>
  <si>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</si>
  <si>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</si>
  <si>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</si>
  <si>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</si>
  <si>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</si>
  <si>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</si>
  <si>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</si>
  <si>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</si>
  <si>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</si>
  <si>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</si>
  <si>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</si>
  <si>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</si>
  <si>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</si>
  <si>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</si>
  <si>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</si>
  <si>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</si>
  <si>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</si>
  <si>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</si>
  <si>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</si>
  <si>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</si>
  <si>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</si>
  <si>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</si>
  <si>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</si>
  <si>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</si>
  <si>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</si>
  <si>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</si>
  <si>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</si>
  <si>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</si>
  <si>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</si>
  <si>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</si>
  <si>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</si>
  <si>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</si>
  <si>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</si>
  <si>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</si>
  <si>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</si>
  <si>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</si>
  <si>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</si>
  <si>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</si>
  <si>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</si>
  <si>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</si>
  <si>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</si>
  <si>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Hampton School District - SAU 90</t>
  </si>
  <si>
    <t>07/96</t>
  </si>
  <si>
    <t>08/16</t>
  </si>
  <si>
    <t>07/98</t>
  </si>
  <si>
    <t>08/18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</si>
</sst>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zoomScalePageLayoutView="15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ColWidth="9" defaultRowHeight="12" customHeight="1" x14ac:dyDescent="0.2"/>
  <cols>
    <col min="1" max="1" width="45.1640625" customWidth="1"/>
    <col min="2" max="2" width="5.5" customWidth="1"/>
    <col min="3" max="3" width="5" customWidth="1"/>
    <col min="4" max="4" width="3.6640625" hidden="1" customWidth="1"/>
    <col min="5" max="5" width="6.6640625" bestFit="1" customWidth="1"/>
    <col min="6" max="6" width="17" style="20" customWidth="1"/>
    <col min="7" max="8" width="17.1640625" style="20" customWidth="1"/>
    <col min="9" max="9" width="18.66406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225</v>
      </c>
      <c r="C2" s="21">
        <v>225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650000+231020.79+500+100</f>
        <v>881620.79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227289.66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102386.71</v>
      </c>
      <c r="G12" s="18">
        <v>20045.560000000001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11111.72</v>
      </c>
      <c r="H13" s="18">
        <v>102386.71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3200</v>
      </c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987207.5</v>
      </c>
      <c r="G19" s="41">
        <f>SUM(G9:G18)</f>
        <v>31157.279999999999</v>
      </c>
      <c r="H19" s="41">
        <f>SUM(H9:H18)</f>
        <v>102386.71</v>
      </c>
      <c r="I19" s="41">
        <f>SUM(I9:I18)</f>
        <v>0</v>
      </c>
      <c r="J19" s="41">
        <f>SUM(J9:J18)</f>
        <v>227289.66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20045.560000000001</v>
      </c>
      <c r="G22" s="18"/>
      <c r="H22" s="18">
        <v>102386.71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146336.29999999999</v>
      </c>
      <c r="G24" s="18">
        <v>742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63564.68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229946.53999999998</v>
      </c>
      <c r="G32" s="41">
        <f>SUM(G22:G31)</f>
        <v>742</v>
      </c>
      <c r="H32" s="41">
        <f>SUM(H22:H31)</f>
        <v>102386.71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30415.279999999999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80715</v>
      </c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227289.66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233538.35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443007.61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757260.96</v>
      </c>
      <c r="G51" s="41">
        <f>SUM(G35:G50)</f>
        <v>30415.279999999999</v>
      </c>
      <c r="H51" s="41">
        <f>SUM(H35:H50)</f>
        <v>0</v>
      </c>
      <c r="I51" s="41">
        <f>SUM(I35:I50)</f>
        <v>0</v>
      </c>
      <c r="J51" s="41">
        <f>SUM(J35:J50)</f>
        <v>227289.66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987207.5</v>
      </c>
      <c r="G52" s="41">
        <f>G51+G32</f>
        <v>31157.279999999999</v>
      </c>
      <c r="H52" s="41">
        <f>H51+H32</f>
        <v>102386.71</v>
      </c>
      <c r="I52" s="41">
        <f>I51+I32</f>
        <v>0</v>
      </c>
      <c r="J52" s="41">
        <f>J51+J32</f>
        <v>227289.66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18707289-4664592</f>
        <v>14042697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14042697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f>5958+14583</f>
        <v>20541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20541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f>3562.18-272.57</f>
        <v>3289.6099999999997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278836.25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10530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>
        <v>35000</v>
      </c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215.22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161428.91</v>
      </c>
      <c r="G110" s="18"/>
      <c r="H110" s="18"/>
      <c r="I110" s="18"/>
      <c r="J110" s="18">
        <f>4885.28</f>
        <v>4885.28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207174.13</v>
      </c>
      <c r="G111" s="41">
        <f>SUM(G96:G110)</f>
        <v>278836.25</v>
      </c>
      <c r="H111" s="41">
        <f>SUM(H96:H110)</f>
        <v>0</v>
      </c>
      <c r="I111" s="41">
        <f>SUM(I96:I110)</f>
        <v>0</v>
      </c>
      <c r="J111" s="41">
        <f>SUM(J96:J110)</f>
        <v>8174.8899999999994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14270412.130000001</v>
      </c>
      <c r="G112" s="41">
        <f>G60+G111</f>
        <v>278836.25</v>
      </c>
      <c r="H112" s="41">
        <f>H60+H79+H94+H111</f>
        <v>0</v>
      </c>
      <c r="I112" s="41">
        <f>I60+I111</f>
        <v>0</v>
      </c>
      <c r="J112" s="41">
        <f>J60+J111</f>
        <v>8174.8899999999994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0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4664592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1915.86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4666507.8600000003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138237.68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22751.18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6547.21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160988.85999999999</v>
      </c>
      <c r="G136" s="41">
        <f>SUM(G123:G135)</f>
        <v>6547.21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4827496.7200000007</v>
      </c>
      <c r="G140" s="41">
        <f>G121+SUM(G136:G137)</f>
        <v>6547.21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2368.3+10500+138222.45</f>
        <v>151090.75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9896.78+92.41+48921.12+2456.2+44607.51+4516.83</f>
        <v>110490.85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134589.29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250335.89+9469.79+287.3</f>
        <v>260092.98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82543.63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82543.63</v>
      </c>
      <c r="G162" s="41">
        <f>SUM(G150:G161)</f>
        <v>134589.29</v>
      </c>
      <c r="H162" s="41">
        <f>SUM(H150:H161)</f>
        <v>521674.58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82543.63</v>
      </c>
      <c r="G169" s="41">
        <f>G147+G162+SUM(G163:G168)</f>
        <v>134589.29</v>
      </c>
      <c r="H169" s="41">
        <f>H147+H162+SUM(H163:H168)</f>
        <v>521674.58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19180452.48</v>
      </c>
      <c r="G193" s="47">
        <f>G112+G140+G169+G192</f>
        <v>419972.75</v>
      </c>
      <c r="H193" s="47">
        <f>H112+H140+H169+H192</f>
        <v>521674.58</v>
      </c>
      <c r="I193" s="47">
        <f>I112+I140+I169+I192</f>
        <v>0</v>
      </c>
      <c r="J193" s="47">
        <f>J112+J140+J192</f>
        <v>8174.8899999999994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1813226.13+1792448.91+2174689.14+275+144979+6668.77+171170.45+560</f>
        <v>6104017.3999999994</v>
      </c>
      <c r="G197" s="18">
        <f>2610369.09-0.01</f>
        <v>2610369.08</v>
      </c>
      <c r="H197" s="18">
        <f>11.82+15212.79+359+13171.82+0+15909.97</f>
        <v>44665.4</v>
      </c>
      <c r="I197" s="18">
        <f>19071.69+17418.16+1276.65+22233.36+14651.94+1584.67+29604.01+20978.25+1700</f>
        <v>128518.73</v>
      </c>
      <c r="J197" s="18">
        <f>3600+150.65+1055.3</f>
        <v>4805.95</v>
      </c>
      <c r="K197" s="18">
        <v>0</v>
      </c>
      <c r="L197" s="19">
        <f>SUM(F197:K197)</f>
        <v>8892376.5600000005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86000+902173.07+333364.2+5466.78+192.5+385+72765</f>
        <v>1400346.55</v>
      </c>
      <c r="G198" s="18">
        <v>598855</v>
      </c>
      <c r="H198" s="18">
        <f>848.99+(77276.52)+4487.25+0+855.91+900+1075.73+426622.88</f>
        <v>512067.28</v>
      </c>
      <c r="I198" s="18">
        <f>1603.67+3272.9</f>
        <v>4876.57</v>
      </c>
      <c r="J198" s="18">
        <v>3646.78</v>
      </c>
      <c r="K198" s="18">
        <v>985</v>
      </c>
      <c r="L198" s="19">
        <f>SUM(F198:K198)</f>
        <v>2520777.1799999997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47456+43310.03-5466.78</f>
        <v>85299.25</v>
      </c>
      <c r="G200" s="18">
        <v>19891.78</v>
      </c>
      <c r="H200" s="18">
        <f>6611.14+27500</f>
        <v>34111.14</v>
      </c>
      <c r="I200" s="18">
        <v>16754.32</v>
      </c>
      <c r="J200" s="18">
        <v>0</v>
      </c>
      <c r="K200" s="18">
        <v>0</v>
      </c>
      <c r="L200" s="19">
        <f>SUM(F200:K200)</f>
        <v>156056.49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277619+47220+210165.14+20444+157606+196782+21772+141090</f>
        <v>1072698.1400000001</v>
      </c>
      <c r="G202" s="18">
        <v>458736.91</v>
      </c>
      <c r="H202" s="18">
        <f>0+200+0+44.08+125+2700+324+23640.75</f>
        <v>27033.83</v>
      </c>
      <c r="I202" s="18">
        <f>1052.41+892.21+1083.22+1145.97</f>
        <v>4173.8100000000004</v>
      </c>
      <c r="J202" s="18">
        <v>0</v>
      </c>
      <c r="K202" s="18">
        <v>0</v>
      </c>
      <c r="L202" s="19">
        <f t="shared" ref="L202:L208" si="0">SUM(F202:K202)</f>
        <v>1562642.6900000002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33706+191449+27544.68+179679+35640+61444.75+31599.92+8000</f>
        <v>569063.35</v>
      </c>
      <c r="G203" s="18">
        <f>9982+9579+4385+243358.64</f>
        <v>267304.64</v>
      </c>
      <c r="H203" s="18">
        <f>4798.81+1787+1450+4458.17+2339.67+777.4+4458.17+2380.21+90+109+111.1+1175.37+2700+7662.27+61835.47+36996.48+695.26</f>
        <v>133824.38</v>
      </c>
      <c r="I203" s="18">
        <f>9294.25+33961.56+5734.55+117+3828.45+298.34+464.87+5988.27+976.5+1218.61+5889.86+10837.9-3400+7019.33+4000+7027.66+48070.27+26844.61</f>
        <v>168172.02999999997</v>
      </c>
      <c r="J203" s="18">
        <f>14515.11+3400+157200.84</f>
        <v>175115.95</v>
      </c>
      <c r="K203" s="18">
        <v>1085</v>
      </c>
      <c r="L203" s="19">
        <f t="shared" si="0"/>
        <v>1314565.3499999999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23545+332123.06+8671.6</f>
        <v>364339.66</v>
      </c>
      <c r="G204" s="18">
        <v>155809.01999999999</v>
      </c>
      <c r="H204" s="18">
        <f>15166+12299.75+2752.21+5395.88+60.25+(6784.62+20072.49+5000+3653+3071.27+7678.92+2000)</f>
        <v>83934.389999999985</v>
      </c>
      <c r="I204" s="18">
        <f>3367.5+9534.13+641.12+1321.2+14420.76+17949.76</f>
        <v>47234.47</v>
      </c>
      <c r="J204" s="18">
        <f>0</f>
        <v>0</v>
      </c>
      <c r="K204" s="18">
        <f>7252.45+3259+2774.24</f>
        <v>13285.69</v>
      </c>
      <c r="L204" s="19">
        <f t="shared" si="0"/>
        <v>664603.22999999986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448373+211387</f>
        <v>659760</v>
      </c>
      <c r="G205" s="18">
        <f>4016.66+282144.86</f>
        <v>286161.51999999996</v>
      </c>
      <c r="H205" s="18">
        <f>0+3699.48+1096.72+731.21+5083.6+1420.1+125+5559.64+1600</f>
        <v>19315.75</v>
      </c>
      <c r="I205" s="18">
        <f>2779.56+4880.67+6120.58</f>
        <v>13780.81</v>
      </c>
      <c r="J205" s="18">
        <v>0</v>
      </c>
      <c r="K205" s="18">
        <f>780+1660+1885</f>
        <v>4325</v>
      </c>
      <c r="L205" s="19">
        <f t="shared" si="0"/>
        <v>983343.08000000007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163988.53+182047.03+206042.02</f>
        <v>552077.57999999996</v>
      </c>
      <c r="G207" s="18">
        <v>236094.72</v>
      </c>
      <c r="H207" s="18">
        <f>5806.14+0+0+2759.7+61505.46-12482.26+16578.5+5904.83+0+554+2948.2+60306.16-13447.16+16578.5+5061.26+0+0+5196+54457.53+16579+88142.03+3105.79</f>
        <v>319553.68</v>
      </c>
      <c r="I207" s="18">
        <f>14214.98+40116.82+34870.14+14085.57+53634.69+43428.21+17604.19+53138.46+49169.24</f>
        <v>320262.3</v>
      </c>
      <c r="J207" s="18">
        <f>5005.5+2740.05+6554+657+5954.45+2497.15</f>
        <v>23408.15</v>
      </c>
      <c r="K207" s="18">
        <v>0</v>
      </c>
      <c r="L207" s="19">
        <f t="shared" si="0"/>
        <v>1451396.43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v>795592.65</v>
      </c>
      <c r="I208" s="18">
        <v>0</v>
      </c>
      <c r="J208" s="18">
        <v>0</v>
      </c>
      <c r="K208" s="18">
        <v>0</v>
      </c>
      <c r="L208" s="19">
        <f t="shared" si="0"/>
        <v>795592.65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10807601.93</v>
      </c>
      <c r="G211" s="41">
        <f t="shared" si="1"/>
        <v>4633222.67</v>
      </c>
      <c r="H211" s="41">
        <f t="shared" si="1"/>
        <v>1970098.5</v>
      </c>
      <c r="I211" s="41">
        <f t="shared" si="1"/>
        <v>703773.03999999992</v>
      </c>
      <c r="J211" s="41">
        <f t="shared" si="1"/>
        <v>206976.83000000002</v>
      </c>
      <c r="K211" s="41">
        <f t="shared" si="1"/>
        <v>19680.690000000002</v>
      </c>
      <c r="L211" s="41">
        <f t="shared" si="1"/>
        <v>18341353.66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>
        <v>13800</v>
      </c>
      <c r="G250" s="18">
        <v>1056</v>
      </c>
      <c r="H250" s="18">
        <f>21012.06</f>
        <v>21012.06</v>
      </c>
      <c r="I250" s="18">
        <f>5704.18+2088.77+1938.45</f>
        <v>9731.4000000000015</v>
      </c>
      <c r="J250" s="18"/>
      <c r="K250" s="18"/>
      <c r="L250" s="19">
        <f t="shared" ref="L250:L255" si="6">SUM(F250:K250)</f>
        <v>45599.46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334723.71000000002</v>
      </c>
      <c r="I255" s="18"/>
      <c r="J255" s="18"/>
      <c r="K255" s="18"/>
      <c r="L255" s="19">
        <f t="shared" si="6"/>
        <v>334723.71000000002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13800</v>
      </c>
      <c r="G256" s="41">
        <f t="shared" si="7"/>
        <v>1056</v>
      </c>
      <c r="H256" s="41">
        <f t="shared" si="7"/>
        <v>355735.77</v>
      </c>
      <c r="I256" s="41">
        <f t="shared" si="7"/>
        <v>9731.4000000000015</v>
      </c>
      <c r="J256" s="41">
        <f t="shared" si="7"/>
        <v>0</v>
      </c>
      <c r="K256" s="41">
        <f t="shared" si="7"/>
        <v>0</v>
      </c>
      <c r="L256" s="41">
        <f>SUM(F256:K256)</f>
        <v>380323.17000000004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10821401.93</v>
      </c>
      <c r="G257" s="41">
        <f t="shared" si="8"/>
        <v>4634278.67</v>
      </c>
      <c r="H257" s="41">
        <f t="shared" si="8"/>
        <v>2325834.27</v>
      </c>
      <c r="I257" s="41">
        <f t="shared" si="8"/>
        <v>713504.44</v>
      </c>
      <c r="J257" s="41">
        <f t="shared" si="8"/>
        <v>206976.83000000002</v>
      </c>
      <c r="K257" s="41">
        <f t="shared" si="8"/>
        <v>19680.690000000002</v>
      </c>
      <c r="L257" s="41">
        <f t="shared" si="8"/>
        <v>18721676.830000002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450000</v>
      </c>
      <c r="L260" s="19">
        <f>SUM(F260:K260)</f>
        <v>450000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25718.75</v>
      </c>
      <c r="L261" s="19">
        <f>SUM(F261:K261)</f>
        <v>25718.75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475718.75</v>
      </c>
      <c r="L270" s="41">
        <f t="shared" si="9"/>
        <v>475718.75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10821401.93</v>
      </c>
      <c r="G271" s="42">
        <f t="shared" si="11"/>
        <v>4634278.67</v>
      </c>
      <c r="H271" s="42">
        <f t="shared" si="11"/>
        <v>2325834.27</v>
      </c>
      <c r="I271" s="42">
        <f t="shared" si="11"/>
        <v>713504.44</v>
      </c>
      <c r="J271" s="42">
        <f t="shared" si="11"/>
        <v>206976.83000000002</v>
      </c>
      <c r="K271" s="42">
        <f t="shared" si="11"/>
        <v>495399.44</v>
      </c>
      <c r="L271" s="42">
        <f t="shared" si="11"/>
        <v>19197395.580000002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114259.86</v>
      </c>
      <c r="G276" s="18">
        <v>13814.67</v>
      </c>
      <c r="H276" s="18">
        <v>0</v>
      </c>
      <c r="I276" s="18">
        <v>770.45</v>
      </c>
      <c r="J276" s="18">
        <v>897</v>
      </c>
      <c r="K276" s="18">
        <v>0</v>
      </c>
      <c r="L276" s="19">
        <f>SUM(F276:K276)</f>
        <v>129741.98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139386</v>
      </c>
      <c r="G277" s="18">
        <v>10204.379999999999</v>
      </c>
      <c r="H277" s="18">
        <f>101418.53+1879.77</f>
        <v>103298.3</v>
      </c>
      <c r="I277" s="18">
        <v>6279.42</v>
      </c>
      <c r="J277" s="18">
        <v>729.99</v>
      </c>
      <c r="K277" s="18">
        <v>0</v>
      </c>
      <c r="L277" s="19">
        <f>SUM(F277:K277)</f>
        <v>259898.09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33797.980000000003</v>
      </c>
      <c r="G282" s="18">
        <v>401.63</v>
      </c>
      <c r="H282" s="18">
        <f>54050.6+28423.92</f>
        <v>82474.51999999999</v>
      </c>
      <c r="I282" s="18">
        <v>2859.38</v>
      </c>
      <c r="J282" s="18">
        <v>0</v>
      </c>
      <c r="K282" s="18">
        <v>5787</v>
      </c>
      <c r="L282" s="19">
        <f t="shared" si="12"/>
        <v>125320.51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4500</v>
      </c>
      <c r="G284" s="18">
        <v>324.89</v>
      </c>
      <c r="H284" s="18">
        <v>1889.11</v>
      </c>
      <c r="I284" s="18">
        <v>0</v>
      </c>
      <c r="J284" s="18">
        <v>0</v>
      </c>
      <c r="K284" s="18">
        <v>0</v>
      </c>
      <c r="L284" s="19">
        <f t="shared" si="12"/>
        <v>6714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291943.83999999997</v>
      </c>
      <c r="G290" s="42">
        <f t="shared" si="13"/>
        <v>24745.57</v>
      </c>
      <c r="H290" s="42">
        <f t="shared" si="13"/>
        <v>187661.93</v>
      </c>
      <c r="I290" s="42">
        <f t="shared" si="13"/>
        <v>9909.25</v>
      </c>
      <c r="J290" s="42">
        <f t="shared" si="13"/>
        <v>1626.99</v>
      </c>
      <c r="K290" s="42">
        <f t="shared" si="13"/>
        <v>5787</v>
      </c>
      <c r="L290" s="41">
        <f t="shared" si="13"/>
        <v>521674.58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291943.83999999997</v>
      </c>
      <c r="G338" s="41">
        <f t="shared" si="20"/>
        <v>24745.57</v>
      </c>
      <c r="H338" s="41">
        <f t="shared" si="20"/>
        <v>187661.93</v>
      </c>
      <c r="I338" s="41">
        <f t="shared" si="20"/>
        <v>9909.25</v>
      </c>
      <c r="J338" s="41">
        <f t="shared" si="20"/>
        <v>1626.99</v>
      </c>
      <c r="K338" s="41">
        <f t="shared" si="20"/>
        <v>5787</v>
      </c>
      <c r="L338" s="41">
        <f t="shared" si="20"/>
        <v>521674.58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291943.83999999997</v>
      </c>
      <c r="G352" s="41">
        <f>G338</f>
        <v>24745.57</v>
      </c>
      <c r="H352" s="41">
        <f>H338</f>
        <v>187661.93</v>
      </c>
      <c r="I352" s="41">
        <f>I338</f>
        <v>9909.25</v>
      </c>
      <c r="J352" s="41">
        <f>J338</f>
        <v>1626.99</v>
      </c>
      <c r="K352" s="47">
        <f>K338+K351</f>
        <v>5787</v>
      </c>
      <c r="L352" s="41">
        <f>L338+L351</f>
        <v>521674.58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59220+140835.16+3070.08</f>
        <v>203125.24</v>
      </c>
      <c r="G358" s="18">
        <v>0</v>
      </c>
      <c r="H358" s="18">
        <f>1831.11+3264.55</f>
        <v>5095.66</v>
      </c>
      <c r="I358" s="18">
        <f>2340.71+11058.35+184158.31</f>
        <v>197557.37</v>
      </c>
      <c r="J358" s="18">
        <v>602.09</v>
      </c>
      <c r="K358" s="18">
        <v>3196.41</v>
      </c>
      <c r="L358" s="13">
        <f>SUM(F358:K358)</f>
        <v>409576.77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203125.24</v>
      </c>
      <c r="G362" s="47">
        <f t="shared" si="22"/>
        <v>0</v>
      </c>
      <c r="H362" s="47">
        <f t="shared" si="22"/>
        <v>5095.66</v>
      </c>
      <c r="I362" s="47">
        <f t="shared" si="22"/>
        <v>197557.37</v>
      </c>
      <c r="J362" s="47">
        <f t="shared" si="22"/>
        <v>602.09</v>
      </c>
      <c r="K362" s="47">
        <f t="shared" si="22"/>
        <v>3196.41</v>
      </c>
      <c r="L362" s="47">
        <f t="shared" si="22"/>
        <v>409576.77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184158.31</v>
      </c>
      <c r="G367" s="18"/>
      <c r="H367" s="18"/>
      <c r="I367" s="56">
        <f>SUM(F367:H367)</f>
        <v>184158.31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2340.71+11058.35</f>
        <v>13399.060000000001</v>
      </c>
      <c r="G368" s="63"/>
      <c r="H368" s="63"/>
      <c r="I368" s="56">
        <f>SUM(F368:H368)</f>
        <v>13399.060000000001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197557.37</v>
      </c>
      <c r="G369" s="47">
        <f>SUM(G367:G368)</f>
        <v>0</v>
      </c>
      <c r="H369" s="47">
        <f>SUM(H367:H368)</f>
        <v>0</v>
      </c>
      <c r="I369" s="47">
        <f>SUM(I367:I368)</f>
        <v>197557.37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f>3562.18-272.57</f>
        <v>3289.6099999999997</v>
      </c>
      <c r="I397" s="18">
        <f>4885.28</f>
        <v>4885.28</v>
      </c>
      <c r="J397" s="24" t="s">
        <v>288</v>
      </c>
      <c r="K397" s="24" t="s">
        <v>288</v>
      </c>
      <c r="L397" s="56">
        <f t="shared" si="26"/>
        <v>8174.8899999999994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3289.6099999999997</v>
      </c>
      <c r="I401" s="47">
        <f>SUM(I395:I400)</f>
        <v>4885.28</v>
      </c>
      <c r="J401" s="45" t="s">
        <v>288</v>
      </c>
      <c r="K401" s="45" t="s">
        <v>288</v>
      </c>
      <c r="L401" s="47">
        <f>SUM(L395:L400)</f>
        <v>8174.8899999999994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3289.6099999999997</v>
      </c>
      <c r="I408" s="47">
        <f>I393+I401+I407</f>
        <v>4885.28</v>
      </c>
      <c r="J408" s="24" t="s">
        <v>288</v>
      </c>
      <c r="K408" s="24" t="s">
        <v>288</v>
      </c>
      <c r="L408" s="47">
        <f>L393+L401+L407</f>
        <v>8174.8899999999994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227289.66</v>
      </c>
      <c r="H440" s="18"/>
      <c r="I440" s="56">
        <f t="shared" si="33"/>
        <v>227289.66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227289.66</v>
      </c>
      <c r="H446" s="13">
        <f>SUM(H439:H445)</f>
        <v>0</v>
      </c>
      <c r="I446" s="13">
        <f>SUM(I439:I445)</f>
        <v>227289.66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227289.66</v>
      </c>
      <c r="H459" s="18"/>
      <c r="I459" s="56">
        <f t="shared" si="34"/>
        <v>227289.66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227289.66</v>
      </c>
      <c r="H460" s="83">
        <f>SUM(H454:H459)</f>
        <v>0</v>
      </c>
      <c r="I460" s="83">
        <f>SUM(I454:I459)</f>
        <v>227289.66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227289.66</v>
      </c>
      <c r="H461" s="42">
        <f>H452+H460</f>
        <v>0</v>
      </c>
      <c r="I461" s="42">
        <f>I452+I460</f>
        <v>227289.66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774204.06</v>
      </c>
      <c r="G465" s="18">
        <v>20019.3</v>
      </c>
      <c r="H465" s="18">
        <v>0</v>
      </c>
      <c r="I465" s="18">
        <v>0</v>
      </c>
      <c r="J465" s="18">
        <f>201256.59+17858.18</f>
        <v>219114.77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19180452.48</v>
      </c>
      <c r="G468" s="18">
        <v>419972.75</v>
      </c>
      <c r="H468" s="18">
        <v>521674.58</v>
      </c>
      <c r="I468" s="18"/>
      <c r="J468" s="18">
        <f>4885.28+3562.18-272.57</f>
        <v>8174.8899999999994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>
        <v>0</v>
      </c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19180452.48</v>
      </c>
      <c r="G470" s="53">
        <f>SUM(G468:G469)</f>
        <v>419972.75</v>
      </c>
      <c r="H470" s="53">
        <f>SUM(H468:H469)</f>
        <v>521674.58</v>
      </c>
      <c r="I470" s="53">
        <f>SUM(I468:I469)</f>
        <v>0</v>
      </c>
      <c r="J470" s="53">
        <f>SUM(J468:J469)</f>
        <v>8174.8899999999994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19197395.579999998</v>
      </c>
      <c r="G472" s="18">
        <v>409576.77</v>
      </c>
      <c r="H472" s="18">
        <v>521674.58</v>
      </c>
      <c r="I472" s="18"/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>
        <v>0</v>
      </c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19197395.579999998</v>
      </c>
      <c r="G474" s="53">
        <f>SUM(G472:G473)</f>
        <v>409576.77</v>
      </c>
      <c r="H474" s="53">
        <f>SUM(H472:H473)</f>
        <v>521674.58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757260.96000000089</v>
      </c>
      <c r="G476" s="53">
        <f>(G465+G470)- G474</f>
        <v>30415.27999999997</v>
      </c>
      <c r="H476" s="53">
        <f>(H465+H470)- H474</f>
        <v>0</v>
      </c>
      <c r="I476" s="53">
        <f>(I465+I470)- I474</f>
        <v>0</v>
      </c>
      <c r="J476" s="53">
        <f>(J465+J470)- J474</f>
        <v>227289.65999999997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 t="s">
        <v>915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 t="s">
        <v>916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3970000</v>
      </c>
      <c r="G493" s="18">
        <v>1770000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5.71</v>
      </c>
      <c r="G494" s="18">
        <v>4.91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325000</v>
      </c>
      <c r="G495" s="18">
        <v>390000</v>
      </c>
      <c r="H495" s="18"/>
      <c r="I495" s="18"/>
      <c r="J495" s="18"/>
      <c r="K495" s="53">
        <f>SUM(F495:J495)</f>
        <v>715000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325000</v>
      </c>
      <c r="G497" s="18">
        <v>125000</v>
      </c>
      <c r="H497" s="18"/>
      <c r="I497" s="18"/>
      <c r="J497" s="18"/>
      <c r="K497" s="53">
        <f t="shared" si="35"/>
        <v>450000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0</v>
      </c>
      <c r="G498" s="204">
        <v>265000</v>
      </c>
      <c r="H498" s="204"/>
      <c r="I498" s="204"/>
      <c r="J498" s="204"/>
      <c r="K498" s="205">
        <f t="shared" si="35"/>
        <v>265000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0</v>
      </c>
      <c r="G499" s="18">
        <f>6625+(3375*2)</f>
        <v>13375</v>
      </c>
      <c r="H499" s="18"/>
      <c r="I499" s="18"/>
      <c r="J499" s="18"/>
      <c r="K499" s="53">
        <f t="shared" si="35"/>
        <v>13375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278375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278375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0</v>
      </c>
      <c r="G501" s="204">
        <v>130000</v>
      </c>
      <c r="H501" s="204"/>
      <c r="I501" s="204"/>
      <c r="J501" s="204"/>
      <c r="K501" s="205">
        <f t="shared" si="35"/>
        <v>130000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0</v>
      </c>
      <c r="G502" s="18">
        <v>10000</v>
      </c>
      <c r="H502" s="18"/>
      <c r="I502" s="18"/>
      <c r="J502" s="18"/>
      <c r="K502" s="53">
        <f t="shared" si="35"/>
        <v>10000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140000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140000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1400346.55+139386-158765</f>
        <v>1380967.55</v>
      </c>
      <c r="G521" s="18">
        <f>598855+10204.38-67895.78</f>
        <v>541163.6</v>
      </c>
      <c r="H521" s="18">
        <f>512067.28+103298.3</f>
        <v>615365.58000000007</v>
      </c>
      <c r="I521" s="18">
        <f>4876.57+6279.42</f>
        <v>11155.99</v>
      </c>
      <c r="J521" s="18">
        <f>3646.78+729.99</f>
        <v>4376.7700000000004</v>
      </c>
      <c r="K521" s="18">
        <v>985</v>
      </c>
      <c r="L521" s="88">
        <f>SUM(F521:K521)</f>
        <v>2554014.4900000002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1380967.55</v>
      </c>
      <c r="G524" s="108">
        <f t="shared" ref="G524:L524" si="36">SUM(G521:G523)</f>
        <v>541163.6</v>
      </c>
      <c r="H524" s="108">
        <f t="shared" si="36"/>
        <v>615365.58000000007</v>
      </c>
      <c r="I524" s="108">
        <f t="shared" si="36"/>
        <v>11155.99</v>
      </c>
      <c r="J524" s="108">
        <f t="shared" si="36"/>
        <v>4376.7700000000004</v>
      </c>
      <c r="K524" s="108">
        <f t="shared" si="36"/>
        <v>985</v>
      </c>
      <c r="L524" s="89">
        <f t="shared" si="36"/>
        <v>2554014.4900000002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157606+196782+21772+141090</f>
        <v>517250</v>
      </c>
      <c r="G526" s="18">
        <v>221201.1</v>
      </c>
      <c r="H526" s="18">
        <v>23640.75</v>
      </c>
      <c r="I526" s="18">
        <v>0</v>
      </c>
      <c r="J526" s="18">
        <v>0</v>
      </c>
      <c r="K526" s="18">
        <v>0</v>
      </c>
      <c r="L526" s="88">
        <f>SUM(F526:K526)</f>
        <v>762091.85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517250</v>
      </c>
      <c r="G529" s="89">
        <f t="shared" ref="G529:L529" si="37">SUM(G526:G528)</f>
        <v>221201.1</v>
      </c>
      <c r="H529" s="89">
        <f t="shared" si="37"/>
        <v>23640.75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762091.85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86000+72765</f>
        <v>158765</v>
      </c>
      <c r="G531" s="18">
        <v>67895.78</v>
      </c>
      <c r="H531" s="18">
        <f>848.99+0+855.91+900+1075.73</f>
        <v>3680.63</v>
      </c>
      <c r="I531" s="18">
        <v>0</v>
      </c>
      <c r="J531" s="18">
        <v>0</v>
      </c>
      <c r="K531" s="18">
        <v>985</v>
      </c>
      <c r="L531" s="88">
        <f>SUM(F531:K531)</f>
        <v>231326.41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158765</v>
      </c>
      <c r="G534" s="89">
        <f t="shared" ref="G534:L534" si="38">SUM(G531:G533)</f>
        <v>67895.78</v>
      </c>
      <c r="H534" s="89">
        <f t="shared" si="38"/>
        <v>3680.63</v>
      </c>
      <c r="I534" s="89">
        <f t="shared" si="38"/>
        <v>0</v>
      </c>
      <c r="J534" s="89">
        <f t="shared" si="38"/>
        <v>0</v>
      </c>
      <c r="K534" s="89">
        <f t="shared" si="38"/>
        <v>985</v>
      </c>
      <c r="L534" s="89">
        <f t="shared" si="38"/>
        <v>231326.41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0</v>
      </c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141894.57</v>
      </c>
      <c r="I541" s="18"/>
      <c r="J541" s="18"/>
      <c r="K541" s="18"/>
      <c r="L541" s="88">
        <f>SUM(F541:K541)</f>
        <v>141894.57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141894.57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141894.57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2056982.55</v>
      </c>
      <c r="G545" s="89">
        <f t="shared" ref="G545:L545" si="41">G524+G529+G534+G539+G544</f>
        <v>830260.48</v>
      </c>
      <c r="H545" s="89">
        <f t="shared" si="41"/>
        <v>784581.53</v>
      </c>
      <c r="I545" s="89">
        <f t="shared" si="41"/>
        <v>11155.99</v>
      </c>
      <c r="J545" s="89">
        <f t="shared" si="41"/>
        <v>4376.7700000000004</v>
      </c>
      <c r="K545" s="89">
        <f t="shared" si="41"/>
        <v>1970</v>
      </c>
      <c r="L545" s="89">
        <f t="shared" si="41"/>
        <v>3689327.3200000003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2554014.4900000002</v>
      </c>
      <c r="G549" s="87">
        <f>L526</f>
        <v>762091.85</v>
      </c>
      <c r="H549" s="87">
        <f>L531</f>
        <v>231326.41</v>
      </c>
      <c r="I549" s="87">
        <f>L536</f>
        <v>0</v>
      </c>
      <c r="J549" s="87">
        <f>L541</f>
        <v>141894.57</v>
      </c>
      <c r="K549" s="87">
        <f>SUM(F549:J549)</f>
        <v>3689327.3200000003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2554014.4900000002</v>
      </c>
      <c r="G552" s="89">
        <f t="shared" si="42"/>
        <v>762091.85</v>
      </c>
      <c r="H552" s="89">
        <f t="shared" si="42"/>
        <v>231326.41</v>
      </c>
      <c r="I552" s="89">
        <f t="shared" si="42"/>
        <v>0</v>
      </c>
      <c r="J552" s="89">
        <f t="shared" si="42"/>
        <v>141894.57</v>
      </c>
      <c r="K552" s="89">
        <f t="shared" si="42"/>
        <v>3689327.3200000003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f>61562+59337</f>
        <v>120899</v>
      </c>
      <c r="G562" s="18">
        <f>9248.78+18944.88+ROUND(1454.37*0.87*12,2)+ROUND(596.47*0.95*12,2)+ROUND(85.17*0.5*12,2)+ROUND(44.04*0.75*12,2)</f>
        <v>51084.420000000006</v>
      </c>
      <c r="H562" s="18"/>
      <c r="I562" s="18"/>
      <c r="J562" s="18"/>
      <c r="K562" s="18"/>
      <c r="L562" s="88">
        <f>SUM(F562:K562)</f>
        <v>171983.42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120899</v>
      </c>
      <c r="G565" s="89">
        <f t="shared" si="44"/>
        <v>51084.420000000006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171983.42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120899</v>
      </c>
      <c r="G571" s="89">
        <f t="shared" ref="G571:L571" si="46">G560+G565+G570</f>
        <v>51084.420000000006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171983.42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426622.88</v>
      </c>
      <c r="G582" s="18"/>
      <c r="H582" s="18"/>
      <c r="I582" s="87">
        <f t="shared" si="47"/>
        <v>426622.88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601085.5</v>
      </c>
      <c r="I591" s="18"/>
      <c r="J591" s="18"/>
      <c r="K591" s="104">
        <f t="shared" ref="K591:K597" si="48">SUM(H591:J591)</f>
        <v>601085.5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141894.57</v>
      </c>
      <c r="I592" s="18"/>
      <c r="J592" s="18"/>
      <c r="K592" s="104">
        <f t="shared" si="48"/>
        <v>141894.57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11237.6</v>
      </c>
      <c r="I594" s="18"/>
      <c r="J594" s="18"/>
      <c r="K594" s="104">
        <f t="shared" si="48"/>
        <v>11237.6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11003.43</v>
      </c>
      <c r="I595" s="18"/>
      <c r="J595" s="18"/>
      <c r="K595" s="104">
        <f t="shared" si="48"/>
        <v>11003.43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30371.55</v>
      </c>
      <c r="I597" s="18"/>
      <c r="J597" s="18"/>
      <c r="K597" s="104">
        <f t="shared" si="48"/>
        <v>30371.55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795592.65000000014</v>
      </c>
      <c r="I598" s="108">
        <f>SUM(I591:I597)</f>
        <v>0</v>
      </c>
      <c r="J598" s="108">
        <f>SUM(J591:J597)</f>
        <v>0</v>
      </c>
      <c r="K598" s="108">
        <f>SUM(K591:K597)</f>
        <v>795592.65000000014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206976.83+1626.99</f>
        <v>208603.81999999998</v>
      </c>
      <c r="I604" s="18"/>
      <c r="J604" s="18"/>
      <c r="K604" s="104">
        <f>SUM(H604:J604)</f>
        <v>208603.81999999998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208603.81999999998</v>
      </c>
      <c r="I605" s="108">
        <f>SUM(I602:I604)</f>
        <v>0</v>
      </c>
      <c r="J605" s="108">
        <f>SUM(J602:J604)</f>
        <v>0</v>
      </c>
      <c r="K605" s="108">
        <f>SUM(K602:K604)</f>
        <v>208603.81999999998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987207.5</v>
      </c>
      <c r="H617" s="109">
        <f>SUM(F52)</f>
        <v>987207.5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31157.279999999999</v>
      </c>
      <c r="H618" s="109">
        <f>SUM(G52)</f>
        <v>31157.279999999999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102386.71</v>
      </c>
      <c r="H619" s="109">
        <f>SUM(H52)</f>
        <v>102386.71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227289.66</v>
      </c>
      <c r="H621" s="109">
        <f>SUM(J52)</f>
        <v>227289.66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757260.96</v>
      </c>
      <c r="H622" s="109">
        <f>F476</f>
        <v>757260.96000000089</v>
      </c>
      <c r="I622" s="121" t="s">
        <v>101</v>
      </c>
      <c r="J622" s="109">
        <f t="shared" ref="J622:J655" si="50">G622-H622</f>
        <v>-9.3132257461547852E-10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30415.279999999999</v>
      </c>
      <c r="H623" s="109">
        <f>G476</f>
        <v>30415.27999999997</v>
      </c>
      <c r="I623" s="121" t="s">
        <v>102</v>
      </c>
      <c r="J623" s="109">
        <f t="shared" si="50"/>
        <v>2.9103830456733704E-11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227289.66</v>
      </c>
      <c r="H626" s="109">
        <f>J476</f>
        <v>227289.65999999997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19180452.48</v>
      </c>
      <c r="H627" s="104">
        <f>SUM(F468)</f>
        <v>19180452.48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419972.75</v>
      </c>
      <c r="H628" s="104">
        <f>SUM(G468)</f>
        <v>419972.75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521674.58</v>
      </c>
      <c r="H629" s="104">
        <f>SUM(H468)</f>
        <v>521674.58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8174.8899999999994</v>
      </c>
      <c r="H631" s="104">
        <f>SUM(J468)</f>
        <v>8174.8899999999994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19197395.580000002</v>
      </c>
      <c r="H632" s="104">
        <f>SUM(F472)</f>
        <v>19197395.579999998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521674.58</v>
      </c>
      <c r="H633" s="104">
        <f>SUM(H472)</f>
        <v>521674.58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197557.37</v>
      </c>
      <c r="H634" s="104">
        <f>I369</f>
        <v>197557.37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409576.77</v>
      </c>
      <c r="H635" s="104">
        <f>SUM(G472)</f>
        <v>409576.77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8174.8899999999994</v>
      </c>
      <c r="H637" s="164">
        <f>SUM(J468)</f>
        <v>8174.8899999999994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227289.66</v>
      </c>
      <c r="H640" s="104">
        <f>SUM(G461)</f>
        <v>227289.66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227289.66</v>
      </c>
      <c r="H642" s="104">
        <f>SUM(I461)</f>
        <v>227289.66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3289.6099999999997</v>
      </c>
      <c r="H644" s="104">
        <f>H408</f>
        <v>3289.6099999999997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8174.8899999999994</v>
      </c>
      <c r="H646" s="104">
        <f>L408</f>
        <v>8174.8899999999994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795592.65000000014</v>
      </c>
      <c r="H647" s="104">
        <f>L208+L226+L244</f>
        <v>795592.65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208603.81999999998</v>
      </c>
      <c r="H648" s="104">
        <f>(J257+J338)-(J255+J336)</f>
        <v>208603.82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795592.65</v>
      </c>
      <c r="H649" s="104">
        <f>H598</f>
        <v>795592.65000000014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19272605.009999998</v>
      </c>
      <c r="G660" s="19">
        <f>(L229+L309+L359)</f>
        <v>0</v>
      </c>
      <c r="H660" s="19">
        <f>(L247+L328+L360)</f>
        <v>0</v>
      </c>
      <c r="I660" s="19">
        <f>SUM(F660:H660)</f>
        <v>19272605.009999998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278836.25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278836.25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795592.65</v>
      </c>
      <c r="G662" s="19">
        <f>(L226+L306)-(J226+J306)</f>
        <v>0</v>
      </c>
      <c r="H662" s="19">
        <f>(L244+L325)-(J244+J325)</f>
        <v>0</v>
      </c>
      <c r="I662" s="19">
        <f>SUM(F662:H662)</f>
        <v>795592.65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635226.69999999995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635226.69999999995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17562949.409999996</v>
      </c>
      <c r="G664" s="19">
        <f>G660-SUM(G661:G663)</f>
        <v>0</v>
      </c>
      <c r="H664" s="19">
        <f>H660-SUM(H661:H663)</f>
        <v>0</v>
      </c>
      <c r="I664" s="19">
        <f>I660-SUM(I661:I663)</f>
        <v>17562949.409999996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1106.69</v>
      </c>
      <c r="G665" s="248"/>
      <c r="H665" s="248"/>
      <c r="I665" s="19">
        <f>SUM(F665:H665)</f>
        <v>1106.69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15869.8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15869.8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15869.8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15869.8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orizontalCentered="1" gridLines="1" gridLinesSet="0"/>
  <pageMargins left="0.3" right="0.3" top="0.75" bottom="0.5" header="0.5" footer="0.5"/>
  <pageSetup scale="90" orientation="landscape"/>
  <headerFooter alignWithMargins="0">
    <oddHeader xml:space="preserve">&amp;CDOE 25 for 2016-2017
</oddHeader>
    <oddFooter>&amp;L&amp;K000000&amp;F&amp;C&amp;K000000Page &amp;P&amp;R&amp;K00000009/19/17 11:45AM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40" zoomScaleNormal="140" zoomScalePageLayoutView="140" workbookViewId="0">
      <selection activeCell="B40" sqref="B40"/>
    </sheetView>
  </sheetViews>
  <sheetFormatPr defaultColWidth="9" defaultRowHeight="11.25" x14ac:dyDescent="0.2"/>
  <cols>
    <col min="1" max="1" width="26.5" customWidth="1"/>
    <col min="2" max="2" width="33.66406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Hampton School District - SAU 90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6218277.2599999998</v>
      </c>
      <c r="C9" s="229">
        <f>'DOE25'!G197+'DOE25'!G215+'DOE25'!G233+'DOE25'!G276+'DOE25'!G295+'DOE25'!G314</f>
        <v>2624183.75</v>
      </c>
    </row>
    <row r="10" spans="1:3" x14ac:dyDescent="0.2">
      <c r="A10" t="s">
        <v>778</v>
      </c>
      <c r="B10" s="240">
        <f>1813226.13+1792448.91+2174689.14+275+38637</f>
        <v>5819276.1799999997</v>
      </c>
      <c r="C10" s="240">
        <f>2568961.92+2955.73+5054.42</f>
        <v>2576972.0699999998</v>
      </c>
    </row>
    <row r="11" spans="1:3" x14ac:dyDescent="0.2">
      <c r="A11" t="s">
        <v>779</v>
      </c>
      <c r="B11" s="240">
        <f>144979+6668.77+28922+38659+1053.38+4788.48</f>
        <v>225070.63</v>
      </c>
      <c r="C11" s="240">
        <f>11601.06+ROUND(447.72*0.75*12*4,2)+5636.22</f>
        <v>33355.199999999997</v>
      </c>
    </row>
    <row r="12" spans="1:3" x14ac:dyDescent="0.2">
      <c r="A12" t="s">
        <v>780</v>
      </c>
      <c r="B12" s="240">
        <f>171170.45+560+2200</f>
        <v>173930.45</v>
      </c>
      <c r="C12" s="240">
        <f>13688.18+168.3</f>
        <v>13856.48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6218277.2599999998</v>
      </c>
      <c r="C13" s="231">
        <f>SUM(C10:C12)</f>
        <v>2624183.75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1539732.55</v>
      </c>
      <c r="C18" s="229">
        <f>'DOE25'!G198+'DOE25'!G216+'DOE25'!G234+'DOE25'!G277+'DOE25'!G296+'DOE25'!G315</f>
        <v>609059.38</v>
      </c>
    </row>
    <row r="19" spans="1:3" x14ac:dyDescent="0.2">
      <c r="A19" t="s">
        <v>778</v>
      </c>
      <c r="B19" s="240">
        <f>902173.07</f>
        <v>902173.07</v>
      </c>
      <c r="C19" s="240">
        <v>455606.94</v>
      </c>
    </row>
    <row r="20" spans="1:3" x14ac:dyDescent="0.2">
      <c r="A20" t="s">
        <v>779</v>
      </c>
      <c r="B20" s="240">
        <f>333364.2+5466.78+192.5+385+130625+7961</f>
        <v>477994.48000000004</v>
      </c>
      <c r="C20" s="240">
        <f>25964.75+ROUND(447.72*0.75*12*9,2)+9595.59-61.2</f>
        <v>71764.460000000006</v>
      </c>
    </row>
    <row r="21" spans="1:3" x14ac:dyDescent="0.2">
      <c r="A21" t="s">
        <v>780</v>
      </c>
      <c r="B21" s="240">
        <f>86000+72765+800</f>
        <v>159565</v>
      </c>
      <c r="C21" s="240">
        <f>12145.53+13476.2+8127.85+61.2+ROUND(1963.39*0.9*12,2)+ROUND(155.16*0.5*12,2)+ROUND(1707.55*0.85*12,2)+ROUND(85.17*0.5*12,2)+ROUND(727.18*0.85*12,2)+ROUND(44.04*0.75*12,2)</f>
        <v>81687.98000000001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1539732.55</v>
      </c>
      <c r="C22" s="231">
        <f>SUM(C19:C21)</f>
        <v>609059.38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>
        <v>0</v>
      </c>
      <c r="C28" s="240">
        <v>0</v>
      </c>
    </row>
    <row r="29" spans="1:3" x14ac:dyDescent="0.2">
      <c r="A29" t="s">
        <v>779</v>
      </c>
      <c r="B29" s="240">
        <v>0</v>
      </c>
      <c r="C29" s="240">
        <v>0</v>
      </c>
    </row>
    <row r="30" spans="1:3" x14ac:dyDescent="0.2">
      <c r="A30" t="s">
        <v>780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85299.25</v>
      </c>
      <c r="C36" s="235">
        <f>'DOE25'!G200+'DOE25'!G218+'DOE25'!G236+'DOE25'!G279+'DOE25'!G298+'DOE25'!G317</f>
        <v>19891.78</v>
      </c>
    </row>
    <row r="37" spans="1:3" x14ac:dyDescent="0.2">
      <c r="A37" t="s">
        <v>778</v>
      </c>
      <c r="B37" s="240">
        <f>47456+43310.03-5466.78</f>
        <v>85299.25</v>
      </c>
      <c r="C37" s="240">
        <v>19891.78</v>
      </c>
    </row>
    <row r="38" spans="1:3" x14ac:dyDescent="0.2">
      <c r="A38" t="s">
        <v>779</v>
      </c>
      <c r="B38" s="240">
        <v>0</v>
      </c>
      <c r="C38" s="240">
        <v>0</v>
      </c>
    </row>
    <row r="39" spans="1:3" x14ac:dyDescent="0.2">
      <c r="A39" t="s">
        <v>780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85299.25</v>
      </c>
      <c r="C40" s="231">
        <f>SUM(C37:C39)</f>
        <v>19891.78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ColWidth="9" defaultRowHeight="11.25" x14ac:dyDescent="0.2"/>
  <cols>
    <col min="1" max="1" width="10.6640625" customWidth="1"/>
    <col min="2" max="2" width="41.1640625" customWidth="1"/>
    <col min="3" max="3" width="13.5" bestFit="1" customWidth="1"/>
    <col min="4" max="5" width="17.6640625" customWidth="1"/>
    <col min="6" max="6" width="22.5" bestFit="1" customWidth="1"/>
    <col min="7" max="8" width="17.66406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Hampton School District - SAU 90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11569210.23</v>
      </c>
      <c r="D5" s="20">
        <f>SUM('DOE25'!L197:L200)+SUM('DOE25'!L215:L218)+SUM('DOE25'!L233:L236)-F5-G5</f>
        <v>11559772.5</v>
      </c>
      <c r="E5" s="243"/>
      <c r="F5" s="255">
        <f>SUM('DOE25'!J197:J200)+SUM('DOE25'!J215:J218)+SUM('DOE25'!J233:J236)</f>
        <v>8452.73</v>
      </c>
      <c r="G5" s="53">
        <f>SUM('DOE25'!K197:K200)+SUM('DOE25'!K215:K218)+SUM('DOE25'!K233:K236)</f>
        <v>985</v>
      </c>
      <c r="H5" s="259"/>
    </row>
    <row r="6" spans="1:9" x14ac:dyDescent="0.2">
      <c r="A6" s="32">
        <v>2100</v>
      </c>
      <c r="B6" t="s">
        <v>800</v>
      </c>
      <c r="C6" s="245">
        <f t="shared" si="0"/>
        <v>1562642.6900000002</v>
      </c>
      <c r="D6" s="20">
        <f>'DOE25'!L202+'DOE25'!L220+'DOE25'!L238-F6-G6</f>
        <v>1562642.6900000002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1314565.3499999999</v>
      </c>
      <c r="D7" s="20">
        <f>'DOE25'!L203+'DOE25'!L221+'DOE25'!L239-F7-G7</f>
        <v>1138364.3999999999</v>
      </c>
      <c r="E7" s="243"/>
      <c r="F7" s="255">
        <f>'DOE25'!J203+'DOE25'!J221+'DOE25'!J239</f>
        <v>175115.95</v>
      </c>
      <c r="G7" s="53">
        <f>'DOE25'!K203+'DOE25'!K221+'DOE25'!K239</f>
        <v>1085</v>
      </c>
      <c r="H7" s="259"/>
    </row>
    <row r="8" spans="1:9" x14ac:dyDescent="0.2">
      <c r="A8" s="32">
        <v>2300</v>
      </c>
      <c r="B8" t="s">
        <v>801</v>
      </c>
      <c r="C8" s="245">
        <f t="shared" si="0"/>
        <v>337507.52999999991</v>
      </c>
      <c r="D8" s="243"/>
      <c r="E8" s="20">
        <f>'DOE25'!L204+'DOE25'!L222+'DOE25'!L240-F8-G8-D9-D11</f>
        <v>324221.83999999991</v>
      </c>
      <c r="F8" s="255">
        <f>'DOE25'!J204+'DOE25'!J222+'DOE25'!J240</f>
        <v>0</v>
      </c>
      <c r="G8" s="53">
        <f>'DOE25'!K204+'DOE25'!K222+'DOE25'!K240</f>
        <v>13285.69</v>
      </c>
      <c r="H8" s="259"/>
    </row>
    <row r="9" spans="1:9" x14ac:dyDescent="0.2">
      <c r="A9" s="32">
        <v>2310</v>
      </c>
      <c r="B9" t="s">
        <v>817</v>
      </c>
      <c r="C9" s="245">
        <f t="shared" si="0"/>
        <v>69839.039999999994</v>
      </c>
      <c r="D9" s="244">
        <v>69839.039999999994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12299.75</v>
      </c>
      <c r="D10" s="243"/>
      <c r="E10" s="244">
        <v>12299.75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257256.65999999997</v>
      </c>
      <c r="D11" s="244">
        <v>257256.65999999997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983343.08000000007</v>
      </c>
      <c r="D12" s="20">
        <f>'DOE25'!L205+'DOE25'!L223+'DOE25'!L241-F12-G12</f>
        <v>979018.08000000007</v>
      </c>
      <c r="E12" s="243"/>
      <c r="F12" s="255">
        <f>'DOE25'!J205+'DOE25'!J223+'DOE25'!J241</f>
        <v>0</v>
      </c>
      <c r="G12" s="53">
        <f>'DOE25'!K205+'DOE25'!K223+'DOE25'!K241</f>
        <v>4325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1451396.43</v>
      </c>
      <c r="D14" s="20">
        <f>'DOE25'!L207+'DOE25'!L225+'DOE25'!L243-F14-G14</f>
        <v>1427988.28</v>
      </c>
      <c r="E14" s="243"/>
      <c r="F14" s="255">
        <f>'DOE25'!J207+'DOE25'!J225+'DOE25'!J243</f>
        <v>23408.15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795592.65</v>
      </c>
      <c r="D15" s="20">
        <f>'DOE25'!L208+'DOE25'!L226+'DOE25'!L244-F15-G15</f>
        <v>795592.65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334723.71000000002</v>
      </c>
      <c r="D22" s="243"/>
      <c r="E22" s="243"/>
      <c r="F22" s="255">
        <f>'DOE25'!L255+'DOE25'!L336</f>
        <v>334723.71000000002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475718.75</v>
      </c>
      <c r="D25" s="243"/>
      <c r="E25" s="243"/>
      <c r="F25" s="258"/>
      <c r="G25" s="256"/>
      <c r="H25" s="257">
        <f>'DOE25'!L260+'DOE25'!L261+'DOE25'!L341+'DOE25'!L342</f>
        <v>475718.75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225418.46000000002</v>
      </c>
      <c r="D29" s="20">
        <f>'DOE25'!L358+'DOE25'!L359+'DOE25'!L360-'DOE25'!I367-F29-G29</f>
        <v>221619.96000000002</v>
      </c>
      <c r="E29" s="243"/>
      <c r="F29" s="255">
        <f>'DOE25'!J358+'DOE25'!J359+'DOE25'!J360</f>
        <v>602.09</v>
      </c>
      <c r="G29" s="53">
        <f>'DOE25'!K358+'DOE25'!K359+'DOE25'!K360</f>
        <v>3196.41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521674.58</v>
      </c>
      <c r="D31" s="20">
        <f>'DOE25'!L290+'DOE25'!L309+'DOE25'!L328+'DOE25'!L333+'DOE25'!L334+'DOE25'!L335-F31-G31</f>
        <v>514260.59</v>
      </c>
      <c r="E31" s="243"/>
      <c r="F31" s="255">
        <f>'DOE25'!J290+'DOE25'!J309+'DOE25'!J328+'DOE25'!J333+'DOE25'!J334+'DOE25'!J335</f>
        <v>1626.99</v>
      </c>
      <c r="G31" s="53">
        <f>'DOE25'!K290+'DOE25'!K309+'DOE25'!K328+'DOE25'!K333+'DOE25'!K334+'DOE25'!K335</f>
        <v>5787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18526354.849999998</v>
      </c>
      <c r="E33" s="246">
        <f>SUM(E5:E31)</f>
        <v>336521.58999999991</v>
      </c>
      <c r="F33" s="246">
        <f>SUM(F5:F31)</f>
        <v>543929.62</v>
      </c>
      <c r="G33" s="246">
        <f>SUM(G5:G31)</f>
        <v>28664.100000000002</v>
      </c>
      <c r="H33" s="246">
        <f>SUM(H5:H31)</f>
        <v>475718.75</v>
      </c>
    </row>
    <row r="35" spans="2:8" ht="12" thickBot="1" x14ac:dyDescent="0.25">
      <c r="B35" s="253" t="s">
        <v>846</v>
      </c>
      <c r="D35" s="254">
        <f>E33</f>
        <v>336521.58999999991</v>
      </c>
      <c r="E35" s="249"/>
    </row>
    <row r="36" spans="2:8" ht="12" thickTop="1" x14ac:dyDescent="0.2">
      <c r="B36" t="s">
        <v>814</v>
      </c>
      <c r="D36" s="20">
        <f>D33</f>
        <v>18526354.849999998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zoomScalePageLayoutView="80" workbookViewId="0">
      <pane ySplit="2" topLeftCell="A126" activePane="bottomLeft" state="frozen"/>
      <selection activeCell="F46" sqref="F46"/>
      <selection pane="bottomLeft" activeCell="A80" sqref="A80"/>
    </sheetView>
  </sheetViews>
  <sheetFormatPr defaultColWidth="9" defaultRowHeight="11.25" x14ac:dyDescent="0.2"/>
  <cols>
    <col min="1" max="1" width="52.6640625" customWidth="1"/>
    <col min="2" max="2" width="16.5" customWidth="1"/>
    <col min="3" max="3" width="19" customWidth="1"/>
    <col min="4" max="4" width="19.5" customWidth="1"/>
    <col min="5" max="5" width="20.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School District - SAU 90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881620.79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227289.66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102386.71</v>
      </c>
      <c r="D11" s="95">
        <f>'DOE25'!G12</f>
        <v>20045.560000000001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11111.72</v>
      </c>
      <c r="E12" s="95">
        <f>'DOE25'!H13</f>
        <v>102386.71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3200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987207.5</v>
      </c>
      <c r="D18" s="41">
        <f>SUM(D8:D17)</f>
        <v>31157.279999999999</v>
      </c>
      <c r="E18" s="41">
        <f>SUM(E8:E17)</f>
        <v>102386.71</v>
      </c>
      <c r="F18" s="41">
        <f>SUM(F8:F17)</f>
        <v>0</v>
      </c>
      <c r="G18" s="41">
        <f>SUM(G8:G17)</f>
        <v>227289.66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20045.560000000001</v>
      </c>
      <c r="D21" s="95">
        <f>'DOE25'!G22</f>
        <v>0</v>
      </c>
      <c r="E21" s="95">
        <f>'DOE25'!H22</f>
        <v>102386.71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146336.29999999999</v>
      </c>
      <c r="D23" s="95">
        <f>'DOE25'!G24</f>
        <v>742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63564.68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229946.53999999998</v>
      </c>
      <c r="D31" s="41">
        <f>SUM(D21:D30)</f>
        <v>742</v>
      </c>
      <c r="E31" s="41">
        <f>SUM(E21:E30)</f>
        <v>102386.71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30415.279999999999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80715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227289.66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233538.35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443007.61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757260.96</v>
      </c>
      <c r="D50" s="41">
        <f>SUM(D34:D49)</f>
        <v>30415.279999999999</v>
      </c>
      <c r="E50" s="41">
        <f>SUM(E34:E49)</f>
        <v>0</v>
      </c>
      <c r="F50" s="41">
        <f>SUM(F34:F49)</f>
        <v>0</v>
      </c>
      <c r="G50" s="41">
        <f>SUM(G34:G49)</f>
        <v>227289.66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987207.5</v>
      </c>
      <c r="D51" s="41">
        <f>D50+D31</f>
        <v>31157.279999999999</v>
      </c>
      <c r="E51" s="41">
        <f>E50+E31</f>
        <v>102386.71</v>
      </c>
      <c r="F51" s="41">
        <f>F50+F31</f>
        <v>0</v>
      </c>
      <c r="G51" s="41">
        <f>G50+G31</f>
        <v>227289.66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14042697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20541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3289.6099999999997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278836.25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207174.13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4885.28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227715.13</v>
      </c>
      <c r="D62" s="130">
        <f>SUM(D57:D61)</f>
        <v>278836.25</v>
      </c>
      <c r="E62" s="130">
        <f>SUM(E57:E61)</f>
        <v>0</v>
      </c>
      <c r="F62" s="130">
        <f>SUM(F57:F61)</f>
        <v>0</v>
      </c>
      <c r="G62" s="130">
        <f>SUM(G57:G61)</f>
        <v>8174.8899999999994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14270412.130000001</v>
      </c>
      <c r="D63" s="22">
        <f>D56+D62</f>
        <v>278836.25</v>
      </c>
      <c r="E63" s="22">
        <f>E56+E62</f>
        <v>0</v>
      </c>
      <c r="F63" s="22">
        <f>F56+F62</f>
        <v>0</v>
      </c>
      <c r="G63" s="22">
        <f>G56+G62</f>
        <v>8174.8899999999994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4664592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1915.86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4666507.8600000003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138237.68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22751.18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6547.21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160988.85999999999</v>
      </c>
      <c r="D78" s="130">
        <f>SUM(D72:D77)</f>
        <v>6547.21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4827496.7200000007</v>
      </c>
      <c r="D81" s="130">
        <f>SUM(D79:D80)+D78+D70</f>
        <v>6547.21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82543.63</v>
      </c>
      <c r="D88" s="95">
        <f>SUM('DOE25'!G153:G161)</f>
        <v>134589.29</v>
      </c>
      <c r="E88" s="95">
        <f>SUM('DOE25'!H153:H161)</f>
        <v>521674.58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82543.63</v>
      </c>
      <c r="D91" s="131">
        <f>SUM(D85:D90)</f>
        <v>134589.29</v>
      </c>
      <c r="E91" s="131">
        <f>SUM(E85:E90)</f>
        <v>521674.58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19180452.48</v>
      </c>
      <c r="D104" s="86">
        <f>D63+D81+D91+D103</f>
        <v>419972.75</v>
      </c>
      <c r="E104" s="86">
        <f>E63+E81+E91+E103</f>
        <v>521674.58</v>
      </c>
      <c r="F104" s="86">
        <f>F63+F81+F91+F103</f>
        <v>0</v>
      </c>
      <c r="G104" s="86">
        <f>G63+G81+G103</f>
        <v>8174.8899999999994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8892376.5600000005</v>
      </c>
      <c r="D109" s="24" t="s">
        <v>288</v>
      </c>
      <c r="E109" s="95">
        <f>('DOE25'!L276)+('DOE25'!L295)+('DOE25'!L314)</f>
        <v>129741.98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2520777.1799999997</v>
      </c>
      <c r="D110" s="24" t="s">
        <v>288</v>
      </c>
      <c r="E110" s="95">
        <f>('DOE25'!L277)+('DOE25'!L296)+('DOE25'!L315)</f>
        <v>259898.09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156056.49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45599.46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11614809.690000001</v>
      </c>
      <c r="D115" s="86">
        <f>SUM(D109:D114)</f>
        <v>0</v>
      </c>
      <c r="E115" s="86">
        <f>SUM(E109:E114)</f>
        <v>389640.07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1562642.6900000002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1314565.3499999999</v>
      </c>
      <c r="D119" s="24" t="s">
        <v>288</v>
      </c>
      <c r="E119" s="95">
        <f>+('DOE25'!L282)+('DOE25'!L301)+('DOE25'!L320)</f>
        <v>125320.51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664603.22999999986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983343.08000000007</v>
      </c>
      <c r="D121" s="24" t="s">
        <v>288</v>
      </c>
      <c r="E121" s="95">
        <f>+('DOE25'!L284)+('DOE25'!L303)+('DOE25'!L322)</f>
        <v>6714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1451396.43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795592.65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409576.77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6772143.4299999997</v>
      </c>
      <c r="D128" s="86">
        <f>SUM(D118:D127)</f>
        <v>409576.77</v>
      </c>
      <c r="E128" s="86">
        <f>SUM(E118:E127)</f>
        <v>132034.51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334723.71000000002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450000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25718.75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8174.8899999999994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-8174.8899999999994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810442.46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19197395.580000002</v>
      </c>
      <c r="D145" s="86">
        <f>(D115+D128+D144)</f>
        <v>409576.77</v>
      </c>
      <c r="E145" s="86">
        <f>(E115+E128+E144)</f>
        <v>521674.58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07/96</v>
      </c>
      <c r="C152" s="152" t="str">
        <f>'DOE25'!G491</f>
        <v>07/98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08/16</v>
      </c>
      <c r="C153" s="152" t="str">
        <f>'DOE25'!G492</f>
        <v>08/18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3970000</v>
      </c>
      <c r="C154" s="137">
        <f>'DOE25'!G493</f>
        <v>1770000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5.71</v>
      </c>
      <c r="C155" s="137">
        <f>'DOE25'!G494</f>
        <v>4.91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325000</v>
      </c>
      <c r="C156" s="137">
        <f>'DOE25'!G495</f>
        <v>390000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715000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325000</v>
      </c>
      <c r="C158" s="137">
        <f>'DOE25'!G497</f>
        <v>125000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450000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265000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265000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13375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13375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278375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278375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130000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130000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10000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10000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140000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140000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/>
  <headerFooter alignWithMargins="0">
    <oddHeader>&amp;C&amp;A
2016-2017</oddHeader>
    <oddFooter>&amp;C&amp;K000000Page &amp;P&amp;R&amp;K00000009/19/17 11:40AM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ColWidth="9" defaultRowHeight="11.25" x14ac:dyDescent="0.2"/>
  <cols>
    <col min="1" max="1" width="14.5" customWidth="1"/>
    <col min="2" max="2" width="49" bestFit="1" customWidth="1"/>
    <col min="3" max="3" width="12.5" bestFit="1" customWidth="1"/>
    <col min="4" max="4" width="10.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Hampton School District - SAU 90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15870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15870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9022119</v>
      </c>
      <c r="D10" s="182">
        <f>ROUND((C10/$C$28)*100,1)</f>
        <v>47.3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2780675</v>
      </c>
      <c r="D11" s="182">
        <f>ROUND((C11/$C$28)*100,1)</f>
        <v>14.6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156056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1562643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1439886</v>
      </c>
      <c r="D16" s="182">
        <f t="shared" si="0"/>
        <v>7.6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664603</v>
      </c>
      <c r="D17" s="182">
        <f t="shared" si="0"/>
        <v>3.5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990057</v>
      </c>
      <c r="D18" s="182">
        <f t="shared" si="0"/>
        <v>5.2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1451396</v>
      </c>
      <c r="D20" s="182">
        <f t="shared" si="0"/>
        <v>7.6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795593</v>
      </c>
      <c r="D21" s="182">
        <f t="shared" si="0"/>
        <v>4.2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45599</v>
      </c>
      <c r="D23" s="182">
        <f t="shared" si="0"/>
        <v>0.2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25719</v>
      </c>
      <c r="D25" s="182">
        <f t="shared" si="0"/>
        <v>0.1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130740.75</v>
      </c>
      <c r="D27" s="182">
        <f t="shared" si="0"/>
        <v>0.7</v>
      </c>
    </row>
    <row r="28" spans="1:4" x14ac:dyDescent="0.2">
      <c r="B28" s="187" t="s">
        <v>722</v>
      </c>
      <c r="C28" s="180">
        <f>SUM(C10:C27)</f>
        <v>19065086.75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334724</v>
      </c>
    </row>
    <row r="30" spans="1:4" x14ac:dyDescent="0.2">
      <c r="B30" s="187" t="s">
        <v>728</v>
      </c>
      <c r="C30" s="180">
        <f>SUM(C28:C29)</f>
        <v>19399810.75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450000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14042697</v>
      </c>
      <c r="D35" s="182">
        <f t="shared" ref="D35:D40" si="1">ROUND((C35/$C$41)*100,1)</f>
        <v>70.7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235890.02000000142</v>
      </c>
      <c r="D36" s="182">
        <f t="shared" si="1"/>
        <v>1.2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4664592</v>
      </c>
      <c r="D37" s="182">
        <f t="shared" si="1"/>
        <v>23.5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169452</v>
      </c>
      <c r="D38" s="182">
        <f t="shared" si="1"/>
        <v>0.9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738808</v>
      </c>
      <c r="D39" s="182">
        <f t="shared" si="1"/>
        <v>3.7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19851439.020000003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Hampton School District - SAU 90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2017-10-19T14:48:44Z</cp:lastPrinted>
  <dcterms:created xsi:type="dcterms:W3CDTF">1997-12-04T19:04:30Z</dcterms:created>
  <dcterms:modified xsi:type="dcterms:W3CDTF">2017-11-29T17:27:19Z</dcterms:modified>
</cp:coreProperties>
</file>