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1065" yWindow="60" windowWidth="23670" windowHeight="1204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H603" i="1" l="1"/>
  <c r="F497" i="1" l="1"/>
  <c r="C10" i="12" l="1"/>
  <c r="C21" i="12"/>
  <c r="C20" i="12"/>
  <c r="J521" i="1"/>
  <c r="I521" i="1"/>
  <c r="H521" i="1"/>
  <c r="G521" i="1"/>
  <c r="F521" i="1"/>
  <c r="G531" i="1"/>
  <c r="C12" i="12" l="1"/>
  <c r="G203" i="1"/>
  <c r="F12" i="1" l="1"/>
  <c r="F50" i="1"/>
  <c r="F502" i="1" l="1"/>
  <c r="H22" i="1"/>
  <c r="H13" i="1"/>
  <c r="H155" i="1"/>
  <c r="F531" i="1" l="1"/>
  <c r="B10" i="12"/>
  <c r="B20" i="12"/>
  <c r="B21" i="12"/>
  <c r="B12" i="12"/>
  <c r="I203" i="1"/>
  <c r="H208" i="1"/>
  <c r="H207" i="1"/>
  <c r="H204" i="1"/>
  <c r="H203" i="1"/>
  <c r="F202" i="1"/>
  <c r="F203" i="1"/>
  <c r="F29" i="1" l="1"/>
  <c r="F9" i="1"/>
  <c r="F367" i="1" l="1"/>
  <c r="I276" i="1"/>
  <c r="H276" i="1"/>
  <c r="G276" i="1"/>
  <c r="F276" i="1"/>
  <c r="H159" i="1"/>
  <c r="H154" i="1"/>
  <c r="I358" i="1"/>
  <c r="F35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E8" i="13" s="1"/>
  <c r="C8" i="13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9" i="2" s="1"/>
  <c r="L198" i="1"/>
  <c r="C110" i="2" s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C119" i="2" s="1"/>
  <c r="L221" i="1"/>
  <c r="L239" i="1"/>
  <c r="F12" i="13"/>
  <c r="G12" i="13"/>
  <c r="L205" i="1"/>
  <c r="D12" i="13" s="1"/>
  <c r="C12" i="13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E110" i="2" s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C18" i="2" s="1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1" i="2"/>
  <c r="E111" i="2"/>
  <c r="E112" i="2"/>
  <c r="C113" i="2"/>
  <c r="E113" i="2"/>
  <c r="C114" i="2"/>
  <c r="E114" i="2"/>
  <c r="D115" i="2"/>
  <c r="F115" i="2"/>
  <c r="G115" i="2"/>
  <c r="C118" i="2"/>
  <c r="E118" i="2"/>
  <c r="E119" i="2"/>
  <c r="E120" i="2"/>
  <c r="E121" i="2"/>
  <c r="C122" i="2"/>
  <c r="E122" i="2"/>
  <c r="C123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I257" i="1" s="1"/>
  <c r="I271" i="1" s="1"/>
  <c r="J211" i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F476" i="1" s="1"/>
  <c r="H622" i="1" s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H545" i="1" s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H640" i="1"/>
  <c r="G641" i="1"/>
  <c r="H641" i="1"/>
  <c r="H642" i="1"/>
  <c r="G643" i="1"/>
  <c r="H643" i="1"/>
  <c r="G644" i="1"/>
  <c r="H644" i="1"/>
  <c r="J644" i="1" s="1"/>
  <c r="G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26" i="10"/>
  <c r="L328" i="1"/>
  <c r="H660" i="1" s="1"/>
  <c r="L351" i="1"/>
  <c r="I662" i="1"/>
  <c r="A31" i="12"/>
  <c r="D62" i="2"/>
  <c r="D63" i="2" s="1"/>
  <c r="D18" i="13"/>
  <c r="C18" i="13" s="1"/>
  <c r="D15" i="13"/>
  <c r="C15" i="13" s="1"/>
  <c r="D7" i="13"/>
  <c r="C7" i="13" s="1"/>
  <c r="D17" i="13"/>
  <c r="C17" i="13" s="1"/>
  <c r="C91" i="2"/>
  <c r="F78" i="2"/>
  <c r="F81" i="2" s="1"/>
  <c r="C78" i="2"/>
  <c r="G157" i="2"/>
  <c r="F18" i="2"/>
  <c r="G161" i="2"/>
  <c r="G156" i="2"/>
  <c r="E103" i="2"/>
  <c r="D91" i="2"/>
  <c r="E62" i="2"/>
  <c r="E63" i="2" s="1"/>
  <c r="G62" i="2"/>
  <c r="D29" i="13"/>
  <c r="C29" i="13" s="1"/>
  <c r="D19" i="13"/>
  <c r="C19" i="13" s="1"/>
  <c r="E13" i="13"/>
  <c r="C13" i="13" s="1"/>
  <c r="E78" i="2"/>
  <c r="E81" i="2" s="1"/>
  <c r="L427" i="1"/>
  <c r="J257" i="1"/>
  <c r="J271" i="1" s="1"/>
  <c r="H112" i="1"/>
  <c r="F112" i="1"/>
  <c r="J641" i="1"/>
  <c r="J639" i="1"/>
  <c r="J571" i="1"/>
  <c r="K571" i="1"/>
  <c r="L433" i="1"/>
  <c r="L419" i="1"/>
  <c r="D81" i="2"/>
  <c r="I169" i="1"/>
  <c r="H169" i="1"/>
  <c r="G552" i="1"/>
  <c r="J643" i="1"/>
  <c r="I476" i="1"/>
  <c r="H625" i="1" s="1"/>
  <c r="J625" i="1" s="1"/>
  <c r="G338" i="1"/>
  <c r="G352" i="1" s="1"/>
  <c r="F169" i="1"/>
  <c r="J140" i="1"/>
  <c r="F571" i="1"/>
  <c r="I552" i="1"/>
  <c r="K550" i="1"/>
  <c r="G22" i="2"/>
  <c r="K545" i="1"/>
  <c r="C29" i="10"/>
  <c r="H140" i="1"/>
  <c r="L393" i="1"/>
  <c r="A13" i="12"/>
  <c r="F22" i="13"/>
  <c r="H25" i="13"/>
  <c r="C25" i="13" s="1"/>
  <c r="J651" i="1"/>
  <c r="J640" i="1"/>
  <c r="H571" i="1"/>
  <c r="L560" i="1"/>
  <c r="J545" i="1"/>
  <c r="H338" i="1"/>
  <c r="H352" i="1" s="1"/>
  <c r="G192" i="1"/>
  <c r="H192" i="1"/>
  <c r="E128" i="2"/>
  <c r="C35" i="10"/>
  <c r="L309" i="1"/>
  <c r="E16" i="13"/>
  <c r="C16" i="13" s="1"/>
  <c r="L570" i="1"/>
  <c r="I571" i="1"/>
  <c r="I545" i="1"/>
  <c r="J636" i="1"/>
  <c r="G36" i="2"/>
  <c r="L565" i="1"/>
  <c r="K551" i="1"/>
  <c r="C22" i="13"/>
  <c r="C138" i="2"/>
  <c r="K605" i="1" l="1"/>
  <c r="G648" i="1" s="1"/>
  <c r="G545" i="1"/>
  <c r="A40" i="12"/>
  <c r="C16" i="10"/>
  <c r="E31" i="2"/>
  <c r="K549" i="1"/>
  <c r="K552" i="1" s="1"/>
  <c r="L524" i="1"/>
  <c r="J552" i="1"/>
  <c r="L544" i="1"/>
  <c r="K598" i="1"/>
  <c r="G647" i="1" s="1"/>
  <c r="J647" i="1" s="1"/>
  <c r="J649" i="1"/>
  <c r="J655" i="1"/>
  <c r="H33" i="13"/>
  <c r="C18" i="10"/>
  <c r="D6" i="13"/>
  <c r="C6" i="13" s="1"/>
  <c r="D14" i="13"/>
  <c r="C14" i="13" s="1"/>
  <c r="C121" i="2"/>
  <c r="D5" i="13"/>
  <c r="C5" i="13" s="1"/>
  <c r="L211" i="1"/>
  <c r="L257" i="1" s="1"/>
  <c r="L271" i="1" s="1"/>
  <c r="G632" i="1" s="1"/>
  <c r="J632" i="1" s="1"/>
  <c r="E33" i="13"/>
  <c r="D35" i="13" s="1"/>
  <c r="C120" i="2"/>
  <c r="C128" i="2" s="1"/>
  <c r="C13" i="10"/>
  <c r="C115" i="2"/>
  <c r="C10" i="10"/>
  <c r="C81" i="2"/>
  <c r="C104" i="2" s="1"/>
  <c r="C62" i="2"/>
  <c r="C63" i="2" s="1"/>
  <c r="J622" i="1"/>
  <c r="J617" i="1"/>
  <c r="J645" i="1"/>
  <c r="L401" i="1"/>
  <c r="C139" i="2" s="1"/>
  <c r="H476" i="1"/>
  <c r="H624" i="1" s="1"/>
  <c r="J624" i="1" s="1"/>
  <c r="K338" i="1"/>
  <c r="K352" i="1" s="1"/>
  <c r="J338" i="1"/>
  <c r="J352" i="1" s="1"/>
  <c r="L290" i="1"/>
  <c r="C17" i="10"/>
  <c r="E115" i="2"/>
  <c r="E145" i="2" s="1"/>
  <c r="C11" i="10"/>
  <c r="H52" i="1"/>
  <c r="H619" i="1" s="1"/>
  <c r="J619" i="1" s="1"/>
  <c r="G476" i="1"/>
  <c r="H623" i="1" s="1"/>
  <c r="J623" i="1" s="1"/>
  <c r="J634" i="1"/>
  <c r="D127" i="2"/>
  <c r="D128" i="2" s="1"/>
  <c r="D145" i="2" s="1"/>
  <c r="G661" i="1"/>
  <c r="H664" i="1"/>
  <c r="F661" i="1"/>
  <c r="L362" i="1"/>
  <c r="G635" i="1" s="1"/>
  <c r="J635" i="1" s="1"/>
  <c r="D31" i="2"/>
  <c r="D51" i="2" s="1"/>
  <c r="D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E104" i="2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D31" i="13" s="1"/>
  <c r="C31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I663" i="1"/>
  <c r="C27" i="10"/>
  <c r="E51" i="2" l="1"/>
  <c r="L545" i="1"/>
  <c r="F660" i="1"/>
  <c r="F664" i="1" s="1"/>
  <c r="F672" i="1" s="1"/>
  <c r="C4" i="10" s="1"/>
  <c r="L408" i="1"/>
  <c r="G637" i="1" s="1"/>
  <c r="J637" i="1" s="1"/>
  <c r="C141" i="2"/>
  <c r="C144" i="2" s="1"/>
  <c r="C145" i="2" s="1"/>
  <c r="H646" i="1"/>
  <c r="J646" i="1" s="1"/>
  <c r="F33" i="13"/>
  <c r="L338" i="1"/>
  <c r="L352" i="1" s="1"/>
  <c r="G633" i="1" s="1"/>
  <c r="J633" i="1" s="1"/>
  <c r="C28" i="10"/>
  <c r="D24" i="10" s="1"/>
  <c r="G664" i="1"/>
  <c r="I661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F667" i="1" l="1"/>
  <c r="I660" i="1"/>
  <c r="I664" i="1" s="1"/>
  <c r="I672" i="1" s="1"/>
  <c r="C7" i="10" s="1"/>
  <c r="D23" i="10"/>
  <c r="D13" i="10"/>
  <c r="D26" i="10"/>
  <c r="D11" i="10"/>
  <c r="D16" i="10"/>
  <c r="D10" i="10"/>
  <c r="C30" i="10"/>
  <c r="D21" i="10"/>
  <c r="D20" i="10"/>
  <c r="D15" i="10"/>
  <c r="D25" i="10"/>
  <c r="D19" i="10"/>
  <c r="D22" i="10"/>
  <c r="D27" i="10"/>
  <c r="D18" i="10"/>
  <c r="D17" i="10"/>
  <c r="D12" i="10"/>
  <c r="G672" i="1"/>
  <c r="C5" i="10" s="1"/>
  <c r="G667" i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<sst xmlns="http://schemas.openxmlformats.org/spreadsheetml/2006/main" count="3957" uniqueCount="915">
  <si>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</si>
  <si>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</si>
  <si>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</si>
  <si>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</si>
  <si>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</si>
  <si>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</si>
  <si>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</si>
  <si>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</si>
  <si>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</si>
  <si>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</si>
  <si>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</si>
  <si>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</si>
  <si>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</si>
  <si>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</si>
  <si>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</si>
  <si>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</si>
  <si>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</si>
  <si>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</si>
  <si>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</si>
  <si>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</si>
  <si>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</si>
  <si>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</si>
  <si>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</si>
  <si>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</si>
  <si>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</si>
  <si>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</si>
  <si>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</si>
  <si>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</si>
  <si>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</si>
  <si>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</si>
  <si>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</si>
  <si>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</si>
  <si>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</si>
  <si>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</si>
  <si>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</si>
  <si>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</si>
  <si>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</si>
  <si>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</si>
  <si>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</si>
  <si>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</si>
  <si>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</si>
  <si>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</si>
  <si>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</si>
  <si>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</si>
  <si>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</si>
  <si>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</si>
  <si>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</si>
  <si>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</si>
  <si>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</si>
  <si>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</si>
  <si>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</si>
  <si>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</si>
  <si>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</si>
  <si>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</si>
  <si>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</si>
  <si>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</si>
  <si>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</si>
  <si>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</si>
  <si>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</si>
  <si>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</si>
  <si>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</si>
  <si>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</si>
  <si>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</si>
  <si>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</si>
  <si>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</si>
  <si>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</si>
  <si>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</si>
  <si>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</si>
  <si>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</si>
  <si>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</si>
  <si>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</si>
  <si>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</si>
  <si>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</si>
  <si>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</si>
  <si>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</si>
  <si>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</si>
  <si>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</si>
  <si>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</si>
  <si>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</si>
  <si>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</si>
  <si>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</si>
  <si>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</si>
  <si>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</si>
  <si>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</si>
  <si>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</si>
  <si>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</si>
  <si>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</si>
  <si>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</si>
  <si>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</si>
  <si>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</si>
  <si>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</si>
  <si>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</si>
  <si>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</si>
  <si>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</si>
  <si>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</si>
  <si>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</si>
  <si>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</si>
  <si>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</si>
  <si>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</si>
  <si>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</si>
  <si>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</si>
  <si>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</si>
  <si>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</si>
  <si>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</si>
  <si>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</si>
  <si>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</si>
  <si>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</si>
  <si>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</si>
  <si>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</si>
  <si>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</si>
  <si>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</si>
  <si>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</si>
  <si>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</si>
  <si>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</si>
  <si>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</si>
  <si>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</si>
  <si>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</si>
  <si>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</si>
  <si>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</si>
  <si>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</si>
  <si>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</si>
  <si>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</si>
  <si>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</si>
  <si>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</si>
  <si>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</si>
  <si>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</si>
  <si>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</si>
  <si>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</si>
  <si>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</si>
  <si>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</si>
  <si>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</si>
  <si>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</si>
  <si>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</si>
  <si>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</si>
  <si>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</si>
  <si>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</si>
  <si>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</si>
  <si>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</si>
  <si>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</si>
  <si>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</si>
  <si>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</si>
  <si>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</si>
  <si>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</si>
  <si>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</si>
  <si>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</si>
  <si>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</si>
  <si>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</si>
  <si>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</si>
  <si>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</si>
  <si>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</si>
  <si>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</si>
  <si>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</si>
  <si>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</si>
  <si>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</si>
  <si>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</si>
  <si>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</si>
  <si>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</si>
  <si>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</si>
  <si>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</si>
  <si>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</si>
  <si>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</si>
  <si>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</si>
  <si>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</si>
  <si>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</si>
  <si>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</si>
  <si>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</si>
  <si>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</si>
  <si>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</si>
  <si>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</si>
  <si>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</si>
  <si>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</si>
  <si>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</si>
  <si>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</si>
  <si>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</si>
  <si>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</si>
  <si>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</si>
  <si>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</si>
  <si>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</si>
  <si>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</si>
  <si>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</si>
  <si>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</si>
  <si>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</si>
  <si>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</si>
  <si>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</si>
  <si>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</si>
  <si>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</si>
  <si>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</si>
  <si>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</si>
  <si>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</si>
  <si>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</si>
  <si>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</si>
  <si>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</si>
  <si>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</si>
  <si>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</si>
  <si>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</si>
  <si>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</si>
  <si>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</si>
  <si>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</si>
  <si>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</si>
  <si>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</si>
  <si>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</si>
  <si>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</si>
  <si>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</si>
  <si>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</si>
  <si>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</si>
  <si>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</si>
  <si>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</si>
  <si>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</si>
  <si>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</si>
  <si>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</si>
  <si>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</si>
  <si>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</si>
  <si>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</si>
  <si>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</si>
  <si>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</si>
  <si>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</si>
  <si>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</si>
  <si>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</si>
  <si>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</si>
  <si>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</si>
  <si>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</si>
  <si>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</si>
  <si>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</si>
  <si>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</si>
  <si>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</si>
  <si>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</si>
  <si>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</si>
  <si>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</si>
  <si>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</si>
  <si>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</si>
  <si>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</si>
  <si>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</si>
  <si>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</si>
  <si>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</si>
  <si>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</si>
  <si>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</si>
  <si>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</si>
  <si>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</si>
  <si>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</si>
  <si>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</si>
  <si>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</si>
  <si>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</si>
  <si>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</si>
  <si>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</si>
  <si>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</si>
  <si>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</si>
  <si>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</si>
  <si>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</si>
  <si>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</si>
  <si>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</si>
  <si>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</si>
  <si>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</si>
  <si>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</si>
  <si>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</si>
  <si>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</si>
  <si>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</si>
  <si>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</si>
  <si>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</si>
  <si>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</si>
  <si>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</si>
  <si>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</si>
  <si>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</si>
  <si>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</si>
  <si>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</si>
  <si>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</si>
  <si>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</si>
  <si>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</si>
  <si>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</si>
  <si>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</si>
  <si>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</si>
  <si>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</si>
  <si>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</si>
  <si>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</si>
  <si>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</si>
  <si>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</si>
  <si>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</si>
  <si>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</si>
  <si>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</si>
  <si>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</si>
  <si>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</si>
  <si>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</si>
  <si>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</si>
  <si>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</si>
  <si>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</si>
  <si>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</si>
  <si>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</si>
  <si>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</si>
  <si>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</si>
  <si>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</si>
  <si>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</si>
  <si>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</si>
  <si>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</si>
  <si>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</si>
  <si>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</si>
  <si>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</si>
  <si>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</si>
  <si>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</si>
  <si>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</si>
  <si>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</si>
  <si>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</si>
  <si>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</si>
  <si>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</si>
  <si>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</si>
  <si>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</si>
  <si>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</si>
  <si>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</si>
  <si>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</si>
  <si>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</si>
  <si>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</si>
  <si>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</si>
  <si>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</si>
  <si>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</si>
  <si>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</si>
  <si>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</si>
  <si>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</si>
  <si>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</si>
  <si>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</si>
  <si>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</si>
  <si>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</si>
  <si>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</si>
  <si>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</si>
  <si>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</si>
  <si>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</si>
  <si>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</si>
  <si>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</si>
  <si>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</si>
  <si>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</si>
  <si>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</si>
  <si>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</si>
  <si>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</si>
  <si>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</si>
  <si>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</si>
  <si>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</si>
  <si>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</si>
  <si>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</si>
  <si>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</si>
  <si>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</si>
  <si>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</si>
  <si>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</si>
  <si>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</si>
  <si>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</si>
  <si>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</si>
  <si>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</si>
  <si>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</si>
  <si>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</si>
  <si>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</si>
  <si>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</si>
  <si>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</si>
  <si>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</si>
  <si>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</si>
  <si>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</si>
  <si>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</si>
  <si>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</si>
  <si>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</si>
  <si>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</si>
  <si>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</si>
  <si>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</si>
  <si>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</si>
  <si>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</si>
  <si>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</si>
  <si>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</si>
  <si>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</si>
  <si>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</si>
  <si>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</si>
  <si>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</si>
  <si>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</si>
  <si>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</si>
  <si>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</si>
  <si>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</si>
  <si>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</si>
  <si>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</si>
  <si>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</si>
  <si>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</si>
  <si>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</si>
  <si>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</si>
  <si>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</si>
  <si>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</si>
  <si>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</si>
  <si>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</si>
  <si>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</si>
  <si>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</si>
  <si>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</si>
  <si>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</si>
  <si>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</si>
  <si>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</si>
  <si>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</si>
  <si>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</si>
  <si>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</si>
  <si>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</si>
  <si>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</si>
  <si>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</si>
  <si>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</si>
  <si>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</si>
  <si>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</si>
  <si>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</si>
  <si>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</si>
  <si>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</si>
  <si>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</si>
  <si>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</si>
  <si>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</si>
  <si>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</si>
  <si>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</si>
  <si>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</si>
  <si>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</si>
  <si>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</si>
  <si>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</si>
  <si>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</si>
  <si>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</si>
  <si>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</si>
  <si>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</si>
  <si>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</si>
  <si>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</si>
  <si>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</si>
  <si>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</si>
  <si>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</si>
  <si>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</si>
  <si>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</si>
  <si>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</si>
  <si>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</si>
  <si>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</si>
  <si>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</si>
  <si>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</si>
  <si>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</si>
  <si>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</si>
  <si>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</si>
  <si>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</si>
  <si>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</si>
  <si>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</si>
  <si>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</si>
  <si>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</si>
  <si>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</si>
  <si>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</si>
  <si>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</si>
  <si>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</si>
  <si>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</si>
  <si>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</si>
  <si>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</si>
  <si>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</si>
  <si>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</si>
  <si>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</si>
  <si>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</si>
  <si>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</si>
  <si>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</si>
  <si>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</si>
  <si>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</si>
  <si>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</si>
  <si>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</si>
  <si>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</si>
  <si>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</si>
  <si>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</si>
  <si>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</si>
  <si>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</si>
  <si>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</si>
  <si>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</si>
  <si>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</si>
  <si>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</si>
  <si>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</si>
  <si>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</si>
  <si>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</si>
  <si>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</si>
  <si>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</si>
  <si>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</si>
  <si>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</si>
  <si>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</si>
  <si>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</si>
  <si>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</si>
  <si>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</si>
  <si>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</si>
  <si>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</si>
  <si>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</si>
  <si>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</si>
  <si>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</si>
  <si>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</si>
  <si>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</si>
  <si>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</si>
  <si>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</si>
  <si>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</si>
  <si>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</si>
  <si>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</si>
  <si>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</si>
  <si>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</si>
  <si>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</si>
  <si>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</si>
  <si>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</si>
  <si>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</si>
  <si>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</si>
  <si>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</si>
  <si>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</si>
  <si>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</si>
  <si>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</si>
  <si>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</si>
  <si>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</si>
  <si>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</si>
  <si>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</si>
  <si>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</si>
  <si>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</si>
  <si>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</si>
  <si>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</si>
  <si>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</si>
  <si>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</si>
  <si>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</si>
  <si>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</si>
  <si>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</si>
  <si>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</si>
  <si>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</si>
  <si>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</si>
  <si>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</si>
  <si>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</si>
  <si>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</si>
  <si>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</si>
  <si>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</si>
  <si>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</si>
  <si>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</si>
  <si>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</si>
  <si>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</si>
  <si>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</si>
  <si>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</si>
  <si>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</si>
  <si>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</si>
  <si>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</si>
  <si>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</si>
  <si>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</si>
  <si>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</si>
  <si>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</si>
  <si>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</si>
  <si>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</si>
  <si>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</si>
  <si>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</si>
  <si>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</si>
  <si>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</si>
  <si>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</si>
  <si>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</si>
  <si>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</si>
  <si>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</si>
  <si>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</si>
  <si>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</si>
  <si>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</si>
  <si>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</si>
  <si>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</si>
  <si>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</si>
  <si>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</si>
  <si>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</si>
  <si>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</si>
  <si>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</si>
  <si>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</si>
  <si>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</si>
  <si>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</si>
  <si>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</si>
  <si>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</si>
  <si>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</si>
  <si>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</si>
  <si>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</si>
  <si>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</si>
  <si>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</si>
  <si>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</si>
  <si>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</si>
  <si>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</si>
  <si>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</si>
  <si>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</si>
  <si>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</si>
  <si>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</si>
  <si>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</si>
  <si>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</si>
  <si>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</si>
  <si>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</si>
  <si>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</si>
  <si>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</si>
  <si>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</si>
  <si>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</si>
  <si>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</si>
  <si>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</si>
  <si>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</si>
  <si>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</si>
  <si>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</si>
  <si>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</si>
  <si>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</si>
  <si>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</si>
  <si>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</si>
  <si>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</si>
  <si>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</si>
  <si>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</si>
  <si>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</si>
  <si>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</si>
  <si>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</si>
  <si>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</si>
  <si>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</si>
  <si>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</si>
  <si>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</si>
  <si>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</si>
  <si>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</si>
  <si>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</si>
  <si>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</si>
  <si>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</si>
  <si>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</si>
  <si>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</si>
  <si>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</si>
  <si>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</si>
  <si>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</si>
  <si>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</si>
  <si>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</si>
  <si>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</si>
  <si>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</si>
  <si>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</si>
  <si>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</si>
  <si>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</si>
  <si>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</si>
  <si>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</si>
  <si>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</si>
  <si>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</si>
  <si>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</si>
  <si>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</si>
  <si>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</si>
  <si>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</si>
  <si>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</si>
  <si>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</si>
  <si>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</si>
  <si>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</si>
  <si>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</si>
  <si>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</si>
  <si>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</si>
  <si>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</si>
  <si>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</si>
  <si>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</si>
  <si>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</si>
  <si>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</si>
  <si>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</si>
  <si>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</si>
  <si>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</si>
  <si>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</si>
  <si>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</si>
  <si>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</si>
  <si>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</si>
  <si>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</si>
  <si>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</si>
  <si>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</si>
  <si>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</si>
  <si>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</si>
  <si>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</si>
  <si>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</si>
  <si>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</si>
  <si>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</si>
  <si>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</si>
  <si>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</si>
  <si>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</si>
  <si>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</si>
  <si>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</si>
  <si>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</si>
  <si>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</si>
  <si>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</si>
  <si>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</si>
  <si>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</si>
  <si>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</si>
  <si>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</si>
  <si>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</si>
  <si>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</si>
  <si>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</si>
  <si>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</si>
  <si>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</si>
  <si>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</si>
  <si>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</si>
  <si>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</si>
  <si>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</si>
  <si>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</si>
  <si>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</si>
  <si>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</si>
  <si>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</si>
  <si>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</si>
  <si>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</si>
  <si>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</si>
  <si>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</si>
  <si>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</si>
  <si>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</si>
  <si>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</si>
  <si>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</si>
  <si>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</si>
  <si>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</si>
  <si>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</si>
  <si>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</si>
  <si>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</si>
  <si>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</si>
  <si>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</si>
  <si>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</si>
  <si>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</si>
  <si>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</si>
  <si>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</si>
  <si>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</si>
  <si>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</si>
  <si>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</si>
  <si>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</si>
  <si>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</si>
  <si>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</si>
  <si>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</si>
  <si>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</si>
  <si>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</si>
  <si>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</si>
  <si>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</si>
  <si>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</si>
  <si>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</si>
  <si>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</si>
  <si>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</si>
  <si>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</si>
  <si>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</si>
  <si>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</si>
  <si>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</si>
  <si>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</si>
  <si>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</si>
  <si>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</si>
  <si>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</si>
  <si>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</si>
  <si>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</si>
  <si>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</si>
  <si>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</si>
  <si>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</si>
  <si>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</si>
  <si>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</si>
  <si>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</si>
  <si>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</si>
  <si>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</si>
  <si>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</si>
  <si>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</si>
  <si>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</si>
  <si>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</si>
  <si>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</si>
  <si>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</si>
  <si>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</si>
  <si>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</si>
  <si>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</si>
  <si>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</si>
  <si>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</si>
  <si>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</si>
  <si>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</si>
  <si>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</si>
  <si>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</si>
  <si>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</si>
  <si>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</si>
  <si>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</si>
  <si>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</si>
  <si>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</si>
  <si>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</si>
  <si>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</si>
  <si>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</si>
  <si>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</si>
  <si>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</si>
  <si>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</si>
  <si>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</si>
  <si>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</si>
  <si>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</si>
  <si>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</si>
  <si>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</si>
  <si>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</si>
  <si>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</si>
  <si>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</si>
  <si>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</si>
  <si>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</si>
  <si>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</si>
  <si>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</si>
  <si>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</si>
  <si>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</si>
  <si>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</si>
  <si>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</si>
  <si>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</si>
  <si>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</si>
  <si>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</si>
  <si>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</si>
  <si>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</si>
  <si>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</si>
  <si>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</si>
  <si>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</si>
  <si>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</si>
  <si>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</si>
  <si>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</si>
  <si>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</si>
  <si>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</si>
  <si>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</si>
  <si>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</si>
  <si>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</si>
  <si>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</si>
  <si>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</si>
  <si>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</si>
  <si>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</si>
  <si>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</si>
  <si>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</si>
  <si>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</si>
  <si>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</si>
  <si>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</si>
  <si>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</si>
  <si>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</si>
  <si>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</si>
  <si>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</si>
  <si>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</si>
  <si>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</si>
  <si>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</si>
  <si>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</si>
  <si>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</si>
  <si>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</si>
  <si>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</si>
  <si>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</si>
  <si>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</si>
  <si>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</si>
  <si>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</si>
  <si>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</si>
  <si>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</si>
  <si>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</si>
  <si>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</si>
  <si>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</si>
  <si>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</si>
  <si>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</si>
  <si>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</si>
  <si>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</si>
  <si>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</si>
  <si>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</si>
  <si>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</si>
  <si>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</si>
  <si>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</si>
  <si>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</si>
  <si>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</si>
  <si>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</si>
  <si>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</si>
  <si>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</si>
  <si>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</si>
  <si>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</si>
  <si>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</si>
  <si>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</si>
  <si>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</si>
  <si>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</si>
  <si>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</si>
  <si>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</si>
  <si>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</si>
  <si>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</si>
  <si>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</si>
  <si>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</si>
  <si>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</si>
  <si>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</si>
  <si>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</si>
  <si>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</si>
  <si>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</si>
  <si>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</si>
  <si>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</si>
  <si>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</si>
  <si>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</si>
  <si>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</si>
  <si>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</si>
  <si>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</si>
  <si>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</si>
  <si>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</si>
  <si>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</si>
  <si>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</si>
  <si>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</si>
  <si>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</si>
  <si>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</si>
  <si>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</si>
  <si>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</si>
  <si>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</si>
  <si>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</si>
  <si>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</si>
  <si>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</si>
  <si>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</si>
  <si>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</si>
  <si>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</si>
  <si>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</si>
  <si>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</si>
  <si>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</si>
  <si>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</si>
  <si>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</si>
  <si>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</si>
  <si>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</si>
  <si>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</si>
  <si>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</si>
  <si>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</si>
  <si>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</si>
  <si>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</si>
  <si>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</si>
  <si>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</si>
  <si>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</si>
  <si>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</si>
  <si>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</si>
  <si>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</si>
  <si>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</si>
  <si>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</si>
  <si>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</si>
  <si>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</si>
  <si>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</si>
  <si>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</si>
  <si>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</si>
  <si>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</si>
  <si>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</si>
  <si>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</si>
  <si>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</si>
  <si>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</si>
  <si>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</si>
  <si>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</si>
  <si>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</si>
  <si>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</si>
  <si>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</si>
  <si>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</si>
  <si>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</si>
  <si>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</si>
  <si>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</si>
  <si>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</si>
  <si>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</si>
  <si>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</si>
  <si>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</si>
  <si>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</si>
  <si>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</si>
  <si>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</si>
  <si>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</si>
  <si>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</si>
  <si>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</si>
  <si>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</si>
  <si>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</si>
  <si>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</si>
  <si>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</si>
  <si>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HAMPTON FALLS</t>
  </si>
  <si>
    <t>August 2004</t>
  </si>
  <si>
    <t>August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</si>
</sst>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02" sqref="H60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227</v>
      </c>
      <c r="C2" s="21">
        <v>227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611427.24+228.98</f>
        <v>611656.22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177984.82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f>23658.77</f>
        <v>23658.77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611.14</v>
      </c>
      <c r="G13" s="18">
        <v>797.08</v>
      </c>
      <c r="H13" s="18">
        <f>22779.63+620</f>
        <v>23399.63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623.52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3758.96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475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637024.65</v>
      </c>
      <c r="G19" s="41">
        <f>SUM(G9:G18)</f>
        <v>4556.04</v>
      </c>
      <c r="H19" s="41">
        <f>SUM(H9:H18)</f>
        <v>23399.63</v>
      </c>
      <c r="I19" s="41">
        <f>SUM(I9:I18)</f>
        <v>0</v>
      </c>
      <c r="J19" s="41">
        <f>SUM(J9:J18)</f>
        <v>177984.82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>
        <f>22217.97+620</f>
        <v>22837.97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>
        <v>1440.8</v>
      </c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67367.16</v>
      </c>
      <c r="G24" s="18">
        <v>60.34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4005.15</v>
      </c>
      <c r="G28" s="18"/>
      <c r="H28" s="18">
        <v>521.76</v>
      </c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f>306.41+483.5+23590.94+349.99</f>
        <v>24730.84</v>
      </c>
      <c r="G29" s="18"/>
      <c r="H29" s="18">
        <v>39.9</v>
      </c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>
        <v>3054.9</v>
      </c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96103.15</v>
      </c>
      <c r="G32" s="41">
        <f>SUM(G22:G31)</f>
        <v>4556.04</v>
      </c>
      <c r="H32" s="41">
        <f>SUM(H22:H31)</f>
        <v>23399.63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3758.96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475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-3758.96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50000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6768.82</v>
      </c>
      <c r="G48" s="18"/>
      <c r="H48" s="18"/>
      <c r="I48" s="18"/>
      <c r="J48" s="13">
        <f>SUM(I459)</f>
        <v>177984.82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137627.42000000001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345430.26+620</f>
        <v>346050.26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540921.5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177984.82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637024.65</v>
      </c>
      <c r="G52" s="41">
        <f>G51+G32</f>
        <v>4556.04</v>
      </c>
      <c r="H52" s="41">
        <f>H51+H32</f>
        <v>23399.63</v>
      </c>
      <c r="I52" s="41">
        <f>I51+I32</f>
        <v>0</v>
      </c>
      <c r="J52" s="41">
        <f>J51+J32</f>
        <v>177984.82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4729950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4729950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70.42</v>
      </c>
      <c r="G96" s="18"/>
      <c r="H96" s="18"/>
      <c r="I96" s="18"/>
      <c r="J96" s="18">
        <v>1102.47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93991.96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190.71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261.13</v>
      </c>
      <c r="G111" s="41">
        <f>SUM(G96:G110)</f>
        <v>93991.96</v>
      </c>
      <c r="H111" s="41">
        <f>SUM(H96:H110)</f>
        <v>0</v>
      </c>
      <c r="I111" s="41">
        <f>SUM(I96:I110)</f>
        <v>0</v>
      </c>
      <c r="J111" s="41">
        <f>SUM(J96:J110)</f>
        <v>1102.47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4730211.13</v>
      </c>
      <c r="G112" s="41">
        <f>G60+G111</f>
        <v>93991.96</v>
      </c>
      <c r="H112" s="41">
        <f>H60+H79+H94+H111</f>
        <v>0</v>
      </c>
      <c r="I112" s="41">
        <f>I60+I111</f>
        <v>0</v>
      </c>
      <c r="J112" s="41">
        <f>J60+J111</f>
        <v>1102.47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229265.22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714419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98826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1042510.22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1364.19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1364.19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1042510.22</v>
      </c>
      <c r="G140" s="41">
        <f>G121+SUM(G136:G137)</f>
        <v>1364.19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320.01+1123.04+12800.69+561.66</f>
        <v>14805.4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907.2+4280.43+521.19+20863.76+620</f>
        <v>27192.579999999998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13382.01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f>1449.73+66445.48+2.41+672.49</f>
        <v>68570.11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9742.36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>
        <v>6746.18</v>
      </c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9742.36</v>
      </c>
      <c r="G162" s="41">
        <f>SUM(G150:G161)</f>
        <v>20128.190000000002</v>
      </c>
      <c r="H162" s="41">
        <f>SUM(H150:H161)</f>
        <v>110568.09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9742.36</v>
      </c>
      <c r="G169" s="41">
        <f>G147+G162+SUM(G163:G168)</f>
        <v>20128.190000000002</v>
      </c>
      <c r="H169" s="41">
        <f>H147+H162+SUM(H163:H168)</f>
        <v>110568.09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13776.22</v>
      </c>
      <c r="H179" s="18"/>
      <c r="I179" s="18"/>
      <c r="J179" s="18">
        <v>50000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13776.22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13776.22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5782463.71</v>
      </c>
      <c r="G193" s="47">
        <f>G112+G140+G169+G192</f>
        <v>129260.56000000001</v>
      </c>
      <c r="H193" s="47">
        <f>H112+H140+H169+H192</f>
        <v>110568.09</v>
      </c>
      <c r="I193" s="47">
        <f>I112+I140+I169+I192</f>
        <v>0</v>
      </c>
      <c r="J193" s="47">
        <f>J112+J140+J192</f>
        <v>51102.47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1549595.36</v>
      </c>
      <c r="G197" s="18">
        <v>679124.2</v>
      </c>
      <c r="H197" s="18">
        <v>11706.51</v>
      </c>
      <c r="I197" s="18">
        <v>52993.37</v>
      </c>
      <c r="J197" s="18">
        <v>5275.79</v>
      </c>
      <c r="K197" s="18"/>
      <c r="L197" s="19">
        <f>SUM(F197:K197)</f>
        <v>2298695.23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688305.72</v>
      </c>
      <c r="G198" s="18">
        <v>241607.04000000001</v>
      </c>
      <c r="H198" s="18">
        <v>210836.42</v>
      </c>
      <c r="I198" s="18">
        <v>1170.3800000000001</v>
      </c>
      <c r="J198" s="18">
        <v>3259.11</v>
      </c>
      <c r="K198" s="18">
        <v>850</v>
      </c>
      <c r="L198" s="19">
        <f>SUM(F198:K198)</f>
        <v>1146028.67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38140</v>
      </c>
      <c r="G200" s="18">
        <v>3089.34</v>
      </c>
      <c r="H200" s="18">
        <v>13456</v>
      </c>
      <c r="I200" s="18">
        <v>3930.98</v>
      </c>
      <c r="J200" s="18">
        <v>4386.7299999999996</v>
      </c>
      <c r="K200" s="18"/>
      <c r="L200" s="19">
        <f>SUM(F200:K200)</f>
        <v>63003.05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58372+67188</f>
        <v>125560</v>
      </c>
      <c r="G202" s="18">
        <v>51320.01</v>
      </c>
      <c r="H202" s="18">
        <v>345</v>
      </c>
      <c r="I202" s="18">
        <v>1205.5899999999999</v>
      </c>
      <c r="J202" s="18">
        <v>55.9</v>
      </c>
      <c r="K202" s="18">
        <v>234</v>
      </c>
      <c r="L202" s="19">
        <f t="shared" ref="L202:L208" si="0">SUM(F202:K202)</f>
        <v>178720.5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8200+54298.5+73519.46</f>
        <v>136017.96000000002</v>
      </c>
      <c r="G203" s="18">
        <f>5645+71460.22</f>
        <v>77105.22</v>
      </c>
      <c r="H203" s="18">
        <f>11858.19+175+2210.67</f>
        <v>14243.86</v>
      </c>
      <c r="I203" s="18">
        <f>262.9+9789.61+36328.25</f>
        <v>46380.76</v>
      </c>
      <c r="J203" s="18">
        <v>19971.39</v>
      </c>
      <c r="K203" s="18"/>
      <c r="L203" s="19">
        <f t="shared" si="0"/>
        <v>293719.19000000006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17578.47</v>
      </c>
      <c r="G204" s="18">
        <v>1344.75</v>
      </c>
      <c r="H204" s="18">
        <f>22686.07+106961</f>
        <v>129647.07</v>
      </c>
      <c r="I204" s="18"/>
      <c r="J204" s="18"/>
      <c r="K204" s="18">
        <v>5822.49</v>
      </c>
      <c r="L204" s="19">
        <f t="shared" si="0"/>
        <v>154392.78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149653.68</v>
      </c>
      <c r="G205" s="18">
        <v>51866.26</v>
      </c>
      <c r="H205" s="18">
        <v>2988.14</v>
      </c>
      <c r="I205" s="18">
        <v>2635.9</v>
      </c>
      <c r="J205" s="18"/>
      <c r="K205" s="18">
        <v>637.5</v>
      </c>
      <c r="L205" s="19">
        <f t="shared" si="0"/>
        <v>207781.48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138824.54</v>
      </c>
      <c r="G207" s="18">
        <v>61444.6</v>
      </c>
      <c r="H207" s="18">
        <f>142746.72+29721.5</f>
        <v>172468.22</v>
      </c>
      <c r="I207" s="18">
        <v>88957.05</v>
      </c>
      <c r="J207" s="18">
        <v>186275.77</v>
      </c>
      <c r="K207" s="18"/>
      <c r="L207" s="19">
        <f t="shared" si="0"/>
        <v>647970.17999999993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202652.07+5261.4+5314.11+5252.97+1154.83</f>
        <v>219635.37999999998</v>
      </c>
      <c r="I208" s="18"/>
      <c r="J208" s="18"/>
      <c r="K208" s="18"/>
      <c r="L208" s="19">
        <f t="shared" si="0"/>
        <v>219635.37999999998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>
        <v>290</v>
      </c>
      <c r="L209" s="19">
        <f>SUM(F209:K209)</f>
        <v>290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2843675.7300000004</v>
      </c>
      <c r="G211" s="41">
        <f t="shared" si="1"/>
        <v>1166901.4200000002</v>
      </c>
      <c r="H211" s="41">
        <f t="shared" si="1"/>
        <v>775326.60000000009</v>
      </c>
      <c r="I211" s="41">
        <f t="shared" si="1"/>
        <v>197274.03</v>
      </c>
      <c r="J211" s="41">
        <f t="shared" si="1"/>
        <v>219224.69</v>
      </c>
      <c r="K211" s="41">
        <f t="shared" si="1"/>
        <v>7833.99</v>
      </c>
      <c r="L211" s="41">
        <f t="shared" si="1"/>
        <v>5210236.459999999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177322</v>
      </c>
      <c r="I255" s="18"/>
      <c r="J255" s="18"/>
      <c r="K255" s="18"/>
      <c r="L255" s="19">
        <f t="shared" si="6"/>
        <v>177322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177322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177322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2843675.7300000004</v>
      </c>
      <c r="G257" s="41">
        <f t="shared" si="8"/>
        <v>1166901.4200000002</v>
      </c>
      <c r="H257" s="41">
        <f t="shared" si="8"/>
        <v>952648.60000000009</v>
      </c>
      <c r="I257" s="41">
        <f t="shared" si="8"/>
        <v>197274.03</v>
      </c>
      <c r="J257" s="41">
        <f t="shared" si="8"/>
        <v>219224.69</v>
      </c>
      <c r="K257" s="41">
        <f t="shared" si="8"/>
        <v>7833.99</v>
      </c>
      <c r="L257" s="41">
        <f t="shared" si="8"/>
        <v>5387558.459999999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60000</v>
      </c>
      <c r="L260" s="19">
        <f>SUM(F260:K260)</f>
        <v>60000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30521.5</v>
      </c>
      <c r="L261" s="19">
        <f>SUM(F261:K261)</f>
        <v>30521.5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13776.22</v>
      </c>
      <c r="L263" s="19">
        <f>SUM(F263:K263)</f>
        <v>13776.22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154297.72</v>
      </c>
      <c r="L270" s="41">
        <f t="shared" si="9"/>
        <v>154297.72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2843675.7300000004</v>
      </c>
      <c r="G271" s="42">
        <f t="shared" si="11"/>
        <v>1166901.4200000002</v>
      </c>
      <c r="H271" s="42">
        <f t="shared" si="11"/>
        <v>952648.60000000009</v>
      </c>
      <c r="I271" s="42">
        <f t="shared" si="11"/>
        <v>197274.03</v>
      </c>
      <c r="J271" s="42">
        <f t="shared" si="11"/>
        <v>219224.69</v>
      </c>
      <c r="K271" s="42">
        <f t="shared" si="11"/>
        <v>162131.71</v>
      </c>
      <c r="L271" s="42">
        <f t="shared" si="11"/>
        <v>5541856.1799999988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10397.18+4760</f>
        <v>15157.18</v>
      </c>
      <c r="G276" s="18">
        <f>872.3+364.13+197.44</f>
        <v>1433.87</v>
      </c>
      <c r="H276" s="18">
        <f>5569.28+2040</f>
        <v>7609.28</v>
      </c>
      <c r="I276" s="18">
        <f>2328.7+1989.28</f>
        <v>4317.9799999999996</v>
      </c>
      <c r="J276" s="18">
        <v>9415.2099999999991</v>
      </c>
      <c r="K276" s="18">
        <v>389</v>
      </c>
      <c r="L276" s="19">
        <f>SUM(F276:K276)</f>
        <v>38322.519999999997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34512</v>
      </c>
      <c r="G277" s="18">
        <v>3090.39</v>
      </c>
      <c r="H277" s="18">
        <v>27007.24</v>
      </c>
      <c r="I277" s="18">
        <v>2266.39</v>
      </c>
      <c r="J277" s="18">
        <v>358.4</v>
      </c>
      <c r="K277" s="18"/>
      <c r="L277" s="19">
        <f>SUM(F277:K277)</f>
        <v>67234.42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1545.12</v>
      </c>
      <c r="G279" s="18">
        <v>126.27</v>
      </c>
      <c r="H279" s="18"/>
      <c r="I279" s="18"/>
      <c r="J279" s="18"/>
      <c r="K279" s="18"/>
      <c r="L279" s="19">
        <f>SUM(F279:K279)</f>
        <v>1671.3899999999999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1343.75</v>
      </c>
      <c r="G283" s="18">
        <v>313.39</v>
      </c>
      <c r="H283" s="18"/>
      <c r="I283" s="18"/>
      <c r="J283" s="18"/>
      <c r="K283" s="18">
        <v>1682.62</v>
      </c>
      <c r="L283" s="19">
        <f t="shared" si="12"/>
        <v>3339.7599999999998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52558.05</v>
      </c>
      <c r="G290" s="42">
        <f t="shared" si="13"/>
        <v>4963.920000000001</v>
      </c>
      <c r="H290" s="42">
        <f t="shared" si="13"/>
        <v>34616.520000000004</v>
      </c>
      <c r="I290" s="42">
        <f t="shared" si="13"/>
        <v>6584.369999999999</v>
      </c>
      <c r="J290" s="42">
        <f t="shared" si="13"/>
        <v>9773.6099999999988</v>
      </c>
      <c r="K290" s="42">
        <f t="shared" si="13"/>
        <v>2071.62</v>
      </c>
      <c r="L290" s="41">
        <f t="shared" si="13"/>
        <v>110568.09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52558.05</v>
      </c>
      <c r="G338" s="41">
        <f t="shared" si="20"/>
        <v>4963.920000000001</v>
      </c>
      <c r="H338" s="41">
        <f t="shared" si="20"/>
        <v>34616.520000000004</v>
      </c>
      <c r="I338" s="41">
        <f t="shared" si="20"/>
        <v>6584.369999999999</v>
      </c>
      <c r="J338" s="41">
        <f t="shared" si="20"/>
        <v>9773.6099999999988</v>
      </c>
      <c r="K338" s="41">
        <f t="shared" si="20"/>
        <v>2071.62</v>
      </c>
      <c r="L338" s="41">
        <f t="shared" si="20"/>
        <v>110568.09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52558.05</v>
      </c>
      <c r="G352" s="41">
        <f>G338</f>
        <v>4963.920000000001</v>
      </c>
      <c r="H352" s="41">
        <f>H338</f>
        <v>34616.520000000004</v>
      </c>
      <c r="I352" s="41">
        <f>I338</f>
        <v>6584.369999999999</v>
      </c>
      <c r="J352" s="41">
        <f>J338</f>
        <v>9773.6099999999988</v>
      </c>
      <c r="K352" s="47">
        <f>K338+K351</f>
        <v>2071.62</v>
      </c>
      <c r="L352" s="41">
        <f>L338+L351</f>
        <v>110568.09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f>40800+40071.47</f>
        <v>80871.47</v>
      </c>
      <c r="G358" s="18"/>
      <c r="H358" s="18">
        <v>357.76</v>
      </c>
      <c r="I358" s="18">
        <f>2033.37+39930.53+6746.18</f>
        <v>48710.080000000002</v>
      </c>
      <c r="J358" s="18">
        <v>408</v>
      </c>
      <c r="K358" s="18">
        <v>2187.5</v>
      </c>
      <c r="L358" s="13">
        <f>SUM(F358:K358)</f>
        <v>132534.81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80871.47</v>
      </c>
      <c r="G362" s="47">
        <f t="shared" si="22"/>
        <v>0</v>
      </c>
      <c r="H362" s="47">
        <f t="shared" si="22"/>
        <v>357.76</v>
      </c>
      <c r="I362" s="47">
        <f t="shared" si="22"/>
        <v>48710.080000000002</v>
      </c>
      <c r="J362" s="47">
        <f t="shared" si="22"/>
        <v>408</v>
      </c>
      <c r="K362" s="47">
        <f t="shared" si="22"/>
        <v>2187.5</v>
      </c>
      <c r="L362" s="47">
        <f t="shared" si="22"/>
        <v>132534.81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39930.53+6746.18</f>
        <v>46676.71</v>
      </c>
      <c r="G367" s="18"/>
      <c r="H367" s="18"/>
      <c r="I367" s="56">
        <f>SUM(F367:H367)</f>
        <v>46676.71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2033.37</v>
      </c>
      <c r="G368" s="63"/>
      <c r="H368" s="63"/>
      <c r="I368" s="56">
        <f>SUM(F368:H368)</f>
        <v>2033.37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48710.080000000002</v>
      </c>
      <c r="G369" s="47">
        <f>SUM(G367:G368)</f>
        <v>0</v>
      </c>
      <c r="H369" s="47">
        <f>SUM(H367:H368)</f>
        <v>0</v>
      </c>
      <c r="I369" s="47">
        <f>SUM(I367:I368)</f>
        <v>48710.080000000002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25000</v>
      </c>
      <c r="H396" s="18">
        <v>520.34</v>
      </c>
      <c r="I396" s="18"/>
      <c r="J396" s="24" t="s">
        <v>288</v>
      </c>
      <c r="K396" s="24" t="s">
        <v>288</v>
      </c>
      <c r="L396" s="56">
        <f t="shared" si="26"/>
        <v>25520.34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25000</v>
      </c>
      <c r="H397" s="18">
        <v>581</v>
      </c>
      <c r="I397" s="18"/>
      <c r="J397" s="24" t="s">
        <v>288</v>
      </c>
      <c r="K397" s="24" t="s">
        <v>288</v>
      </c>
      <c r="L397" s="56">
        <f t="shared" si="26"/>
        <v>25581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>
        <v>1.1299999999999999</v>
      </c>
      <c r="I399" s="18"/>
      <c r="J399" s="24" t="s">
        <v>288</v>
      </c>
      <c r="K399" s="24" t="s">
        <v>288</v>
      </c>
      <c r="L399" s="56">
        <f t="shared" si="26"/>
        <v>1.1299999999999999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1102.4700000000003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51102.469999999994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1102.4700000000003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51102.469999999994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177984.82</v>
      </c>
      <c r="H440" s="18"/>
      <c r="I440" s="56">
        <f t="shared" si="33"/>
        <v>177984.82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177984.82</v>
      </c>
      <c r="H446" s="13">
        <f>SUM(H439:H445)</f>
        <v>0</v>
      </c>
      <c r="I446" s="13">
        <f>SUM(I439:I445)</f>
        <v>177984.82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177984.82</v>
      </c>
      <c r="H459" s="18"/>
      <c r="I459" s="56">
        <f t="shared" si="34"/>
        <v>177984.82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177984.82</v>
      </c>
      <c r="H460" s="83">
        <f>SUM(H454:H459)</f>
        <v>0</v>
      </c>
      <c r="I460" s="83">
        <f>SUM(I454:I459)</f>
        <v>177984.82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177984.82</v>
      </c>
      <c r="H461" s="42">
        <f>H452+H460</f>
        <v>0</v>
      </c>
      <c r="I461" s="42">
        <f>I452+I460</f>
        <v>177984.82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300313.96999999997</v>
      </c>
      <c r="G465" s="18">
        <v>3274.25</v>
      </c>
      <c r="H465" s="18">
        <v>0</v>
      </c>
      <c r="I465" s="18"/>
      <c r="J465" s="18">
        <v>126882.35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5782463.71</v>
      </c>
      <c r="G468" s="18">
        <v>129260.56</v>
      </c>
      <c r="H468" s="18">
        <v>110568.09</v>
      </c>
      <c r="I468" s="18"/>
      <c r="J468" s="18">
        <v>51102.47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5782463.71</v>
      </c>
      <c r="G470" s="53">
        <f>SUM(G468:G469)</f>
        <v>129260.56</v>
      </c>
      <c r="H470" s="53">
        <f>SUM(H468:H469)</f>
        <v>110568.09</v>
      </c>
      <c r="I470" s="53">
        <f>SUM(I468:I469)</f>
        <v>0</v>
      </c>
      <c r="J470" s="53">
        <f>SUM(J468:J469)</f>
        <v>51102.47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5541856.1799999997</v>
      </c>
      <c r="G472" s="18">
        <v>132534.81</v>
      </c>
      <c r="H472" s="18">
        <v>110568.09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5541856.1799999997</v>
      </c>
      <c r="G474" s="53">
        <f>SUM(G472:G473)</f>
        <v>132534.81</v>
      </c>
      <c r="H474" s="53">
        <f>SUM(H472:H473)</f>
        <v>110568.09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540921.5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177984.82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1468000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4.54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670000</v>
      </c>
      <c r="G495" s="18"/>
      <c r="H495" s="18"/>
      <c r="I495" s="18"/>
      <c r="J495" s="18"/>
      <c r="K495" s="53">
        <f>SUM(F495:J495)</f>
        <v>670000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f>60000+30521.5</f>
        <v>90521.5</v>
      </c>
      <c r="G497" s="18"/>
      <c r="H497" s="18"/>
      <c r="I497" s="18"/>
      <c r="J497" s="18"/>
      <c r="K497" s="53">
        <f t="shared" si="35"/>
        <v>90521.5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610000</v>
      </c>
      <c r="G498" s="204"/>
      <c r="H498" s="204"/>
      <c r="I498" s="204"/>
      <c r="J498" s="204"/>
      <c r="K498" s="205">
        <f t="shared" si="35"/>
        <v>610000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115279.25</v>
      </c>
      <c r="G499" s="18"/>
      <c r="H499" s="18"/>
      <c r="I499" s="18"/>
      <c r="J499" s="18"/>
      <c r="K499" s="53">
        <f t="shared" si="35"/>
        <v>115279.25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725279.25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725279.25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65000</v>
      </c>
      <c r="G501" s="204"/>
      <c r="H501" s="204"/>
      <c r="I501" s="204"/>
      <c r="J501" s="204"/>
      <c r="K501" s="205">
        <f t="shared" si="35"/>
        <v>65000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f>15067.75+13443.75-1560</f>
        <v>26951.5</v>
      </c>
      <c r="G502" s="18"/>
      <c r="H502" s="18"/>
      <c r="I502" s="18"/>
      <c r="J502" s="18"/>
      <c r="K502" s="53">
        <f t="shared" si="35"/>
        <v>26951.5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91951.5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91951.5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307169.07+192585.37+34512</f>
        <v>534266.43999999994</v>
      </c>
      <c r="G521" s="18">
        <f>114204.7+53270.75+3090.39</f>
        <v>170565.84000000003</v>
      </c>
      <c r="H521" s="18">
        <f>210836.42-523.33+27007.24</f>
        <v>237320.33000000002</v>
      </c>
      <c r="I521" s="18">
        <f>1170.38+2266.39</f>
        <v>3436.77</v>
      </c>
      <c r="J521" s="18">
        <f>3259.11+358.4</f>
        <v>3617.51</v>
      </c>
      <c r="K521" s="18"/>
      <c r="L521" s="88">
        <f>SUM(F521:K521)</f>
        <v>949206.89000000013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534266.43999999994</v>
      </c>
      <c r="G524" s="108">
        <f t="shared" ref="G524:L524" si="36">SUM(G521:G523)</f>
        <v>170565.84000000003</v>
      </c>
      <c r="H524" s="108">
        <f t="shared" si="36"/>
        <v>237320.33000000002</v>
      </c>
      <c r="I524" s="108">
        <f t="shared" si="36"/>
        <v>3436.77</v>
      </c>
      <c r="J524" s="108">
        <f t="shared" si="36"/>
        <v>3617.51</v>
      </c>
      <c r="K524" s="108">
        <f t="shared" si="36"/>
        <v>0</v>
      </c>
      <c r="L524" s="89">
        <f t="shared" si="36"/>
        <v>949206.89000000013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81187.789999999994</v>
      </c>
      <c r="G526" s="18">
        <v>27011.99</v>
      </c>
      <c r="H526" s="18"/>
      <c r="I526" s="18"/>
      <c r="J526" s="18"/>
      <c r="K526" s="18"/>
      <c r="L526" s="88">
        <f>SUM(F526:K526)</f>
        <v>108199.78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81187.789999999994</v>
      </c>
      <c r="G529" s="89">
        <f t="shared" ref="G529:L529" si="37">SUM(G526:G528)</f>
        <v>27011.99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108199.78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f>83640.08+23723.41</f>
        <v>107363.49</v>
      </c>
      <c r="G531" s="18">
        <f>40671.95+6447.65</f>
        <v>47119.6</v>
      </c>
      <c r="H531" s="18"/>
      <c r="I531" s="18"/>
      <c r="J531" s="18"/>
      <c r="K531" s="18">
        <v>850</v>
      </c>
      <c r="L531" s="88">
        <f>SUM(F531:K531)</f>
        <v>155333.09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107363.49</v>
      </c>
      <c r="G534" s="89">
        <f t="shared" ref="G534:L534" si="38">SUM(G531:G533)</f>
        <v>47119.6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850</v>
      </c>
      <c r="L534" s="89">
        <f t="shared" si="38"/>
        <v>155333.09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523.33000000000004</v>
      </c>
      <c r="I536" s="18"/>
      <c r="J536" s="18"/>
      <c r="K536" s="18"/>
      <c r="L536" s="88">
        <f>SUM(F536:K536)</f>
        <v>523.33000000000004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523.33000000000004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523.33000000000004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5261.4</v>
      </c>
      <c r="I541" s="18"/>
      <c r="J541" s="18"/>
      <c r="K541" s="18"/>
      <c r="L541" s="88">
        <f>SUM(F541:K541)</f>
        <v>5261.4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5261.4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5261.4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722817.72</v>
      </c>
      <c r="G545" s="89">
        <f t="shared" ref="G545:L545" si="41">G524+G529+G534+G539+G544</f>
        <v>244697.43000000002</v>
      </c>
      <c r="H545" s="89">
        <f t="shared" si="41"/>
        <v>243105.06</v>
      </c>
      <c r="I545" s="89">
        <f t="shared" si="41"/>
        <v>3436.77</v>
      </c>
      <c r="J545" s="89">
        <f t="shared" si="41"/>
        <v>3617.51</v>
      </c>
      <c r="K545" s="89">
        <f t="shared" si="41"/>
        <v>850</v>
      </c>
      <c r="L545" s="89">
        <f t="shared" si="41"/>
        <v>1218524.4900000002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949206.89000000013</v>
      </c>
      <c r="G549" s="87">
        <f>L526</f>
        <v>108199.78</v>
      </c>
      <c r="H549" s="87">
        <f>L531</f>
        <v>155333.09</v>
      </c>
      <c r="I549" s="87">
        <f>L536</f>
        <v>523.33000000000004</v>
      </c>
      <c r="J549" s="87">
        <f>L541</f>
        <v>5261.4</v>
      </c>
      <c r="K549" s="87">
        <f>SUM(F549:J549)</f>
        <v>1218524.4900000002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949206.89000000013</v>
      </c>
      <c r="G552" s="89">
        <f t="shared" si="42"/>
        <v>108199.78</v>
      </c>
      <c r="H552" s="89">
        <f t="shared" si="42"/>
        <v>155333.09</v>
      </c>
      <c r="I552" s="89">
        <f t="shared" si="42"/>
        <v>523.33000000000004</v>
      </c>
      <c r="J552" s="89">
        <f t="shared" si="42"/>
        <v>5261.4</v>
      </c>
      <c r="K552" s="89">
        <f t="shared" si="42"/>
        <v>1218524.4900000002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3310.3</v>
      </c>
      <c r="G582" s="18"/>
      <c r="H582" s="18"/>
      <c r="I582" s="87">
        <f t="shared" si="47"/>
        <v>3310.3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202652.07</v>
      </c>
      <c r="I591" s="18"/>
      <c r="J591" s="18"/>
      <c r="K591" s="104">
        <f t="shared" ref="K591:K597" si="48">SUM(H591:J591)</f>
        <v>202652.07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5261.4</v>
      </c>
      <c r="I592" s="18"/>
      <c r="J592" s="18"/>
      <c r="K592" s="104">
        <f t="shared" si="48"/>
        <v>5261.4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5314.11</v>
      </c>
      <c r="I594" s="18"/>
      <c r="J594" s="18"/>
      <c r="K594" s="104">
        <f t="shared" si="48"/>
        <v>5314.11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5252.97</v>
      </c>
      <c r="I595" s="18"/>
      <c r="J595" s="18"/>
      <c r="K595" s="104">
        <f t="shared" si="48"/>
        <v>5252.97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1154.83</v>
      </c>
      <c r="I597" s="18"/>
      <c r="J597" s="18"/>
      <c r="K597" s="104">
        <f t="shared" si="48"/>
        <v>1154.83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219635.37999999998</v>
      </c>
      <c r="I598" s="108">
        <f>SUM(I591:I597)</f>
        <v>0</v>
      </c>
      <c r="J598" s="108">
        <f>SUM(J591:J597)</f>
        <v>0</v>
      </c>
      <c r="K598" s="108">
        <f>SUM(K591:K597)</f>
        <v>219635.37999999998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>
        <f>219224.69-172874.89+9415.21+358.4</f>
        <v>56123.409999999989</v>
      </c>
      <c r="I603" s="18"/>
      <c r="J603" s="18"/>
      <c r="K603" s="104">
        <f>SUM(H603:J603)</f>
        <v>56123.409999999989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172874.89</v>
      </c>
      <c r="I604" s="18"/>
      <c r="J604" s="18"/>
      <c r="K604" s="104">
        <f>SUM(H604:J604)</f>
        <v>172874.89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228998.3</v>
      </c>
      <c r="I605" s="108">
        <f>SUM(I602:I604)</f>
        <v>0</v>
      </c>
      <c r="J605" s="108">
        <f>SUM(J602:J604)</f>
        <v>0</v>
      </c>
      <c r="K605" s="108">
        <f>SUM(K602:K604)</f>
        <v>228998.3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637024.65</v>
      </c>
      <c r="H617" s="109">
        <f>SUM(F52)</f>
        <v>637024.65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4556.04</v>
      </c>
      <c r="H618" s="109">
        <f>SUM(G52)</f>
        <v>4556.04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23399.63</v>
      </c>
      <c r="H619" s="109">
        <f>SUM(H52)</f>
        <v>23399.63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177984.82</v>
      </c>
      <c r="H621" s="109">
        <f>SUM(J52)</f>
        <v>177984.82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540921.5</v>
      </c>
      <c r="H622" s="109">
        <f>F476</f>
        <v>540921.5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177984.82</v>
      </c>
      <c r="H626" s="109">
        <f>J476</f>
        <v>177984.82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5782463.71</v>
      </c>
      <c r="H627" s="104">
        <f>SUM(F468)</f>
        <v>5782463.71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129260.56000000001</v>
      </c>
      <c r="H628" s="104">
        <f>SUM(G468)</f>
        <v>129260.56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110568.09</v>
      </c>
      <c r="H629" s="104">
        <f>SUM(H468)</f>
        <v>110568.09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51102.47</v>
      </c>
      <c r="H631" s="104">
        <f>SUM(J468)</f>
        <v>51102.47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5541856.1799999988</v>
      </c>
      <c r="H632" s="104">
        <f>SUM(F472)</f>
        <v>5541856.1799999997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110568.09</v>
      </c>
      <c r="H633" s="104">
        <f>SUM(H472)</f>
        <v>110568.09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48710.080000000002</v>
      </c>
      <c r="H634" s="104">
        <f>I369</f>
        <v>48710.080000000002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132534.81</v>
      </c>
      <c r="H635" s="104">
        <f>SUM(G472)</f>
        <v>132534.81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51102.469999999994</v>
      </c>
      <c r="H637" s="164">
        <f>SUM(J468)</f>
        <v>51102.47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177984.82</v>
      </c>
      <c r="H640" s="104">
        <f>SUM(G461)</f>
        <v>177984.82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177984.82</v>
      </c>
      <c r="H642" s="104">
        <f>SUM(I461)</f>
        <v>177984.82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1102.47</v>
      </c>
      <c r="H644" s="104">
        <f>H408</f>
        <v>1102.4700000000003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50000</v>
      </c>
      <c r="H645" s="104">
        <f>G408</f>
        <v>50000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51102.47</v>
      </c>
      <c r="H646" s="104">
        <f>L408</f>
        <v>51102.469999999994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219635.37999999998</v>
      </c>
      <c r="H647" s="104">
        <f>L208+L226+L244</f>
        <v>219635.37999999998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228998.3</v>
      </c>
      <c r="H648" s="104">
        <f>(J257+J338)-(J255+J336)</f>
        <v>228998.3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219635.37999999998</v>
      </c>
      <c r="H649" s="104">
        <f>H598</f>
        <v>219635.37999999998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13776.22</v>
      </c>
      <c r="H652" s="104">
        <f>K263+K345</f>
        <v>13776.22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50000</v>
      </c>
      <c r="H655" s="104">
        <f>K266+K347</f>
        <v>50000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5453339.3599999985</v>
      </c>
      <c r="G660" s="19">
        <f>(L229+L309+L359)</f>
        <v>0</v>
      </c>
      <c r="H660" s="19">
        <f>(L247+L328+L360)</f>
        <v>0</v>
      </c>
      <c r="I660" s="19">
        <f>SUM(F660:H660)</f>
        <v>5453339.3599999985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93991.96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93991.96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219635.37999999998</v>
      </c>
      <c r="G662" s="19">
        <f>(L226+L306)-(J226+J306)</f>
        <v>0</v>
      </c>
      <c r="H662" s="19">
        <f>(L244+L325)-(J244+J325)</f>
        <v>0</v>
      </c>
      <c r="I662" s="19">
        <f>SUM(F662:H662)</f>
        <v>219635.37999999998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232308.59999999998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232308.59999999998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4907403.4199999981</v>
      </c>
      <c r="G664" s="19">
        <f>G660-SUM(G661:G663)</f>
        <v>0</v>
      </c>
      <c r="H664" s="19">
        <f>H660-SUM(H661:H663)</f>
        <v>0</v>
      </c>
      <c r="I664" s="19">
        <f>I660-SUM(I661:I663)</f>
        <v>4907403.4199999981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239.69</v>
      </c>
      <c r="G665" s="248"/>
      <c r="H665" s="248"/>
      <c r="I665" s="19">
        <f>SUM(F665:H665)</f>
        <v>239.69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20473.96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20473.96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20473.96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20473.96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9"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HAMPTON FALLS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1564752.54</v>
      </c>
      <c r="C9" s="229">
        <f>'DOE25'!G197+'DOE25'!G215+'DOE25'!G233+'DOE25'!G276+'DOE25'!G295+'DOE25'!G314</f>
        <v>680558.07</v>
      </c>
    </row>
    <row r="10" spans="1:3" x14ac:dyDescent="0.2">
      <c r="A10" t="s">
        <v>778</v>
      </c>
      <c r="B10" s="240">
        <f>1501518.33+10397.18+4760</f>
        <v>1516675.51</v>
      </c>
      <c r="C10" s="240">
        <f>671771.27+364.13+197.44+872.3</f>
        <v>673205.14</v>
      </c>
    </row>
    <row r="11" spans="1:3" x14ac:dyDescent="0.2">
      <c r="A11" t="s">
        <v>779</v>
      </c>
      <c r="B11" s="240">
        <v>16920</v>
      </c>
      <c r="C11" s="240">
        <v>4896.78</v>
      </c>
    </row>
    <row r="12" spans="1:3" x14ac:dyDescent="0.2">
      <c r="A12" t="s">
        <v>780</v>
      </c>
      <c r="B12" s="240">
        <f>16142.03+15015</f>
        <v>31157.03</v>
      </c>
      <c r="C12" s="240">
        <f>1307.5+1148.65</f>
        <v>2456.15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1564752.54</v>
      </c>
      <c r="C13" s="231">
        <f>SUM(C10:C12)</f>
        <v>680558.07000000007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722817.72</v>
      </c>
      <c r="C18" s="229">
        <f>'DOE25'!G198+'DOE25'!G216+'DOE25'!G234+'DOE25'!G277+'DOE25'!G296+'DOE25'!G315</f>
        <v>244697.43000000002</v>
      </c>
    </row>
    <row r="19" spans="1:3" x14ac:dyDescent="0.2">
      <c r="A19" t="s">
        <v>778</v>
      </c>
      <c r="B19" s="240">
        <v>307169.07</v>
      </c>
      <c r="C19" s="240">
        <v>114204.7</v>
      </c>
    </row>
    <row r="20" spans="1:3" x14ac:dyDescent="0.2">
      <c r="A20" t="s">
        <v>779</v>
      </c>
      <c r="B20" s="240">
        <f>192585.37+34512</f>
        <v>227097.37</v>
      </c>
      <c r="C20" s="240">
        <f>53270.75</f>
        <v>53270.75</v>
      </c>
    </row>
    <row r="21" spans="1:3" x14ac:dyDescent="0.2">
      <c r="A21" t="s">
        <v>780</v>
      </c>
      <c r="B21" s="240">
        <f>83640.08+23723.41+81187.79</f>
        <v>188551.28</v>
      </c>
      <c r="C21" s="240">
        <f>40671.95+27011.99+6447.65+3090.39</f>
        <v>77221.98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722817.72</v>
      </c>
      <c r="C22" s="231">
        <f>SUM(C19:C21)</f>
        <v>244697.43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39685.120000000003</v>
      </c>
      <c r="C36" s="235">
        <f>'DOE25'!G200+'DOE25'!G218+'DOE25'!G236+'DOE25'!G279+'DOE25'!G298+'DOE25'!G317</f>
        <v>3215.61</v>
      </c>
    </row>
    <row r="37" spans="1:3" x14ac:dyDescent="0.2">
      <c r="A37" t="s">
        <v>778</v>
      </c>
      <c r="B37" s="240">
        <v>1545.12</v>
      </c>
      <c r="C37" s="240">
        <v>126.27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38140</v>
      </c>
      <c r="C39" s="240">
        <v>3089.34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39685.120000000003</v>
      </c>
      <c r="C40" s="231">
        <f>SUM(C37:C39)</f>
        <v>3215.61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8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HAMPTON FALLS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3507726.9499999997</v>
      </c>
      <c r="D5" s="20">
        <f>SUM('DOE25'!L197:L200)+SUM('DOE25'!L215:L218)+SUM('DOE25'!L233:L236)-F5-G5</f>
        <v>3493955.32</v>
      </c>
      <c r="E5" s="243"/>
      <c r="F5" s="255">
        <f>SUM('DOE25'!J197:J200)+SUM('DOE25'!J215:J218)+SUM('DOE25'!J233:J236)</f>
        <v>12921.63</v>
      </c>
      <c r="G5" s="53">
        <f>SUM('DOE25'!K197:K200)+SUM('DOE25'!K215:K218)+SUM('DOE25'!K233:K236)</f>
        <v>850</v>
      </c>
      <c r="H5" s="259"/>
    </row>
    <row r="6" spans="1:9" x14ac:dyDescent="0.2">
      <c r="A6" s="32">
        <v>2100</v>
      </c>
      <c r="B6" t="s">
        <v>800</v>
      </c>
      <c r="C6" s="245">
        <f t="shared" si="0"/>
        <v>178720.5</v>
      </c>
      <c r="D6" s="20">
        <f>'DOE25'!L202+'DOE25'!L220+'DOE25'!L238-F6-G6</f>
        <v>178430.6</v>
      </c>
      <c r="E6" s="243"/>
      <c r="F6" s="255">
        <f>'DOE25'!J202+'DOE25'!J220+'DOE25'!J238</f>
        <v>55.9</v>
      </c>
      <c r="G6" s="53">
        <f>'DOE25'!K202+'DOE25'!K220+'DOE25'!K238</f>
        <v>234</v>
      </c>
      <c r="H6" s="259"/>
    </row>
    <row r="7" spans="1:9" x14ac:dyDescent="0.2">
      <c r="A7" s="32">
        <v>2200</v>
      </c>
      <c r="B7" t="s">
        <v>833</v>
      </c>
      <c r="C7" s="245">
        <f t="shared" si="0"/>
        <v>293719.19000000006</v>
      </c>
      <c r="D7" s="20">
        <f>'DOE25'!L203+'DOE25'!L221+'DOE25'!L239-F7-G7</f>
        <v>273747.80000000005</v>
      </c>
      <c r="E7" s="243"/>
      <c r="F7" s="255">
        <f>'DOE25'!J203+'DOE25'!J221+'DOE25'!J239</f>
        <v>19971.39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76095.310000000012</v>
      </c>
      <c r="D8" s="243"/>
      <c r="E8" s="20">
        <f>'DOE25'!L204+'DOE25'!L222+'DOE25'!L240-F8-G8-D9-D11</f>
        <v>70272.820000000007</v>
      </c>
      <c r="F8" s="255">
        <f>'DOE25'!J204+'DOE25'!J222+'DOE25'!J240</f>
        <v>0</v>
      </c>
      <c r="G8" s="53">
        <f>'DOE25'!K204+'DOE25'!K222+'DOE25'!K240</f>
        <v>5822.49</v>
      </c>
      <c r="H8" s="259"/>
    </row>
    <row r="9" spans="1:9" x14ac:dyDescent="0.2">
      <c r="A9" s="32">
        <v>2310</v>
      </c>
      <c r="B9" t="s">
        <v>817</v>
      </c>
      <c r="C9" s="245">
        <f t="shared" si="0"/>
        <v>46087.03</v>
      </c>
      <c r="D9" s="244">
        <v>46087.03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7900</v>
      </c>
      <c r="D10" s="243"/>
      <c r="E10" s="244">
        <v>7900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32210.44</v>
      </c>
      <c r="D11" s="244">
        <v>32210.44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207781.48</v>
      </c>
      <c r="D12" s="20">
        <f>'DOE25'!L205+'DOE25'!L223+'DOE25'!L241-F12-G12</f>
        <v>207143.98</v>
      </c>
      <c r="E12" s="243"/>
      <c r="F12" s="255">
        <f>'DOE25'!J205+'DOE25'!J223+'DOE25'!J241</f>
        <v>0</v>
      </c>
      <c r="G12" s="53">
        <f>'DOE25'!K205+'DOE25'!K223+'DOE25'!K241</f>
        <v>637.5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647970.17999999993</v>
      </c>
      <c r="D14" s="20">
        <f>'DOE25'!L207+'DOE25'!L225+'DOE25'!L243-F14-G14</f>
        <v>461694.40999999992</v>
      </c>
      <c r="E14" s="243"/>
      <c r="F14" s="255">
        <f>'DOE25'!J207+'DOE25'!J225+'DOE25'!J243</f>
        <v>186275.77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219635.37999999998</v>
      </c>
      <c r="D15" s="20">
        <f>'DOE25'!L208+'DOE25'!L226+'DOE25'!L244-F15-G15</f>
        <v>219635.37999999998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290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290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177322</v>
      </c>
      <c r="D22" s="243"/>
      <c r="E22" s="243"/>
      <c r="F22" s="255">
        <f>'DOE25'!L255+'DOE25'!L336</f>
        <v>177322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90521.5</v>
      </c>
      <c r="D25" s="243"/>
      <c r="E25" s="243"/>
      <c r="F25" s="258"/>
      <c r="G25" s="256"/>
      <c r="H25" s="257">
        <f>'DOE25'!L260+'DOE25'!L261+'DOE25'!L341+'DOE25'!L342</f>
        <v>90521.5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85858.1</v>
      </c>
      <c r="D29" s="20">
        <f>'DOE25'!L358+'DOE25'!L359+'DOE25'!L360-'DOE25'!I367-F29-G29</f>
        <v>83262.600000000006</v>
      </c>
      <c r="E29" s="243"/>
      <c r="F29" s="255">
        <f>'DOE25'!J358+'DOE25'!J359+'DOE25'!J360</f>
        <v>408</v>
      </c>
      <c r="G29" s="53">
        <f>'DOE25'!K358+'DOE25'!K359+'DOE25'!K360</f>
        <v>2187.5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110568.09</v>
      </c>
      <c r="D31" s="20">
        <f>'DOE25'!L290+'DOE25'!L309+'DOE25'!L328+'DOE25'!L333+'DOE25'!L334+'DOE25'!L335-F31-G31</f>
        <v>98722.86</v>
      </c>
      <c r="E31" s="243"/>
      <c r="F31" s="255">
        <f>'DOE25'!J290+'DOE25'!J309+'DOE25'!J328+'DOE25'!J333+'DOE25'!J334+'DOE25'!J335</f>
        <v>9773.6099999999988</v>
      </c>
      <c r="G31" s="53">
        <f>'DOE25'!K290+'DOE25'!K309+'DOE25'!K328+'DOE25'!K333+'DOE25'!K334+'DOE25'!K335</f>
        <v>2071.62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5094890.42</v>
      </c>
      <c r="E33" s="246">
        <f>SUM(E5:E31)</f>
        <v>78172.820000000007</v>
      </c>
      <c r="F33" s="246">
        <f>SUM(F5:F31)</f>
        <v>406728.3</v>
      </c>
      <c r="G33" s="246">
        <f>SUM(G5:G31)</f>
        <v>12093.11</v>
      </c>
      <c r="H33" s="246">
        <f>SUM(H5:H31)</f>
        <v>90521.5</v>
      </c>
    </row>
    <row r="35" spans="2:8" ht="12" thickBot="1" x14ac:dyDescent="0.25">
      <c r="B35" s="253" t="s">
        <v>846</v>
      </c>
      <c r="D35" s="254">
        <f>E33</f>
        <v>78172.820000000007</v>
      </c>
      <c r="E35" s="249"/>
    </row>
    <row r="36" spans="2:8" ht="12" thickTop="1" x14ac:dyDescent="0.2">
      <c r="B36" t="s">
        <v>814</v>
      </c>
      <c r="D36" s="20">
        <f>D33</f>
        <v>5094890.42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HAMPTON FALLS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611656.22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177984.82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23658.77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611.14</v>
      </c>
      <c r="D12" s="95">
        <f>'DOE25'!G13</f>
        <v>797.08</v>
      </c>
      <c r="E12" s="95">
        <f>'DOE25'!H13</f>
        <v>23399.63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623.52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3758.96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475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637024.65</v>
      </c>
      <c r="D18" s="41">
        <f>SUM(D8:D17)</f>
        <v>4556.04</v>
      </c>
      <c r="E18" s="41">
        <f>SUM(E8:E17)</f>
        <v>23399.63</v>
      </c>
      <c r="F18" s="41">
        <f>SUM(F8:F17)</f>
        <v>0</v>
      </c>
      <c r="G18" s="41">
        <f>SUM(G8:G17)</f>
        <v>177984.82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22837.97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1440.8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67367.16</v>
      </c>
      <c r="D23" s="95">
        <f>'DOE25'!G24</f>
        <v>60.34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4005.15</v>
      </c>
      <c r="D27" s="95">
        <f>'DOE25'!G28</f>
        <v>0</v>
      </c>
      <c r="E27" s="95">
        <f>'DOE25'!H28</f>
        <v>521.76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24730.84</v>
      </c>
      <c r="D28" s="95">
        <f>'DOE25'!G29</f>
        <v>0</v>
      </c>
      <c r="E28" s="95">
        <f>'DOE25'!H29</f>
        <v>39.9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3054.9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96103.15</v>
      </c>
      <c r="D31" s="41">
        <f>SUM(D21:D30)</f>
        <v>4556.04</v>
      </c>
      <c r="E31" s="41">
        <f>SUM(E21:E30)</f>
        <v>23399.63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3758.96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475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-3758.96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6768.82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177984.82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137627.42000000001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346050.26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540921.5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177984.82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637024.65</v>
      </c>
      <c r="D51" s="41">
        <f>D50+D31</f>
        <v>4556.04</v>
      </c>
      <c r="E51" s="41">
        <f>E50+E31</f>
        <v>23399.63</v>
      </c>
      <c r="F51" s="41">
        <f>F50+F31</f>
        <v>0</v>
      </c>
      <c r="G51" s="41">
        <f>G50+G31</f>
        <v>177984.82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4729950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70.42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1102.47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93991.96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190.71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261.13</v>
      </c>
      <c r="D62" s="130">
        <f>SUM(D57:D61)</f>
        <v>93991.96</v>
      </c>
      <c r="E62" s="130">
        <f>SUM(E57:E61)</f>
        <v>0</v>
      </c>
      <c r="F62" s="130">
        <f>SUM(F57:F61)</f>
        <v>0</v>
      </c>
      <c r="G62" s="130">
        <f>SUM(G57:G61)</f>
        <v>1102.47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4730211.13</v>
      </c>
      <c r="D63" s="22">
        <f>D56+D62</f>
        <v>93991.96</v>
      </c>
      <c r="E63" s="22">
        <f>E56+E62</f>
        <v>0</v>
      </c>
      <c r="F63" s="22">
        <f>F56+F62</f>
        <v>0</v>
      </c>
      <c r="G63" s="22">
        <f>G56+G62</f>
        <v>1102.47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229265.22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714419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98826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1042510.22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1364.19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1364.19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1042510.22</v>
      </c>
      <c r="D81" s="130">
        <f>SUM(D79:D80)+D78+D70</f>
        <v>1364.19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9742.36</v>
      </c>
      <c r="D88" s="95">
        <f>SUM('DOE25'!G153:G161)</f>
        <v>20128.190000000002</v>
      </c>
      <c r="E88" s="95">
        <f>SUM('DOE25'!H153:H161)</f>
        <v>110568.09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9742.36</v>
      </c>
      <c r="D91" s="131">
        <f>SUM(D85:D90)</f>
        <v>20128.190000000002</v>
      </c>
      <c r="E91" s="131">
        <f>SUM(E85:E90)</f>
        <v>110568.09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13776.22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13776.22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764</v>
      </c>
      <c r="C104" s="86">
        <f>C63+C81+C91+C103</f>
        <v>5782463.71</v>
      </c>
      <c r="D104" s="86">
        <f>D63+D81+D91+D103</f>
        <v>129260.56000000001</v>
      </c>
      <c r="E104" s="86">
        <f>E63+E81+E91+E103</f>
        <v>110568.09</v>
      </c>
      <c r="F104" s="86">
        <f>F63+F81+F91+F103</f>
        <v>0</v>
      </c>
      <c r="G104" s="86">
        <f>G63+G81+G103</f>
        <v>51102.47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2298695.23</v>
      </c>
      <c r="D109" s="24" t="s">
        <v>288</v>
      </c>
      <c r="E109" s="95">
        <f>('DOE25'!L276)+('DOE25'!L295)+('DOE25'!L314)</f>
        <v>38322.519999999997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1146028.67</v>
      </c>
      <c r="D110" s="24" t="s">
        <v>288</v>
      </c>
      <c r="E110" s="95">
        <f>('DOE25'!L277)+('DOE25'!L296)+('DOE25'!L315)</f>
        <v>67234.42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63003.05</v>
      </c>
      <c r="D112" s="24" t="s">
        <v>288</v>
      </c>
      <c r="E112" s="95">
        <f>+('DOE25'!L279)+('DOE25'!L298)+('DOE25'!L317)</f>
        <v>1671.3899999999999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3507726.9499999997</v>
      </c>
      <c r="D115" s="86">
        <f>SUM(D109:D114)</f>
        <v>0</v>
      </c>
      <c r="E115" s="86">
        <f>SUM(E109:E114)</f>
        <v>107228.33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178720.5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293719.19000000006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154392.78</v>
      </c>
      <c r="D120" s="24" t="s">
        <v>288</v>
      </c>
      <c r="E120" s="95">
        <f>+('DOE25'!L283)+('DOE25'!L302)+('DOE25'!L321)</f>
        <v>3339.7599999999998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207781.48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647970.17999999993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219635.37999999998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290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132534.81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1702509.5099999998</v>
      </c>
      <c r="D128" s="86">
        <f>SUM(D118:D127)</f>
        <v>132534.81</v>
      </c>
      <c r="E128" s="86">
        <f>SUM(E118:E127)</f>
        <v>3339.7599999999998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177322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60000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30521.5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13776.22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51102.469999999994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-1102.4699999999939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331619.71999999997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5541856.1799999988</v>
      </c>
      <c r="D145" s="86">
        <f>(D115+D128+D144)</f>
        <v>132534.81</v>
      </c>
      <c r="E145" s="86">
        <f>(E115+E128+E144)</f>
        <v>110568.09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August 2004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August 2024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1468000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4.54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670000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670000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90521.5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90521.5</v>
      </c>
    </row>
    <row r="159" spans="1:9" x14ac:dyDescent="0.2">
      <c r="A159" s="22" t="s">
        <v>35</v>
      </c>
      <c r="B159" s="137">
        <f>'DOE25'!F498</f>
        <v>610000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610000</v>
      </c>
    </row>
    <row r="160" spans="1:9" x14ac:dyDescent="0.2">
      <c r="A160" s="22" t="s">
        <v>36</v>
      </c>
      <c r="B160" s="137">
        <f>'DOE25'!F499</f>
        <v>115279.25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115279.25</v>
      </c>
    </row>
    <row r="161" spans="1:7" x14ac:dyDescent="0.2">
      <c r="A161" s="22" t="s">
        <v>37</v>
      </c>
      <c r="B161" s="137">
        <f>'DOE25'!F500</f>
        <v>725279.25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725279.25</v>
      </c>
    </row>
    <row r="162" spans="1:7" x14ac:dyDescent="0.2">
      <c r="A162" s="22" t="s">
        <v>38</v>
      </c>
      <c r="B162" s="137">
        <f>'DOE25'!F501</f>
        <v>65000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65000</v>
      </c>
    </row>
    <row r="163" spans="1:7" x14ac:dyDescent="0.2">
      <c r="A163" s="22" t="s">
        <v>39</v>
      </c>
      <c r="B163" s="137">
        <f>'DOE25'!F502</f>
        <v>26951.5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26951.5</v>
      </c>
    </row>
    <row r="164" spans="1:7" x14ac:dyDescent="0.2">
      <c r="A164" s="22" t="s">
        <v>246</v>
      </c>
      <c r="B164" s="137">
        <f>'DOE25'!F503</f>
        <v>91951.5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91951.5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HAMPTON FALLS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20474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20474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2337018</v>
      </c>
      <c r="D10" s="182">
        <f>ROUND((C10/$C$28)*100,1)</f>
        <v>43.4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1213263</v>
      </c>
      <c r="D11" s="182">
        <f>ROUND((C11/$C$28)*100,1)</f>
        <v>22.5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64674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178721</v>
      </c>
      <c r="D15" s="182">
        <f t="shared" ref="D15:D27" si="0">ROUND((C15/$C$28)*100,1)</f>
        <v>3.3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293719</v>
      </c>
      <c r="D16" s="182">
        <f t="shared" si="0"/>
        <v>5.4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158023</v>
      </c>
      <c r="D17" s="182">
        <f t="shared" si="0"/>
        <v>2.9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207781</v>
      </c>
      <c r="D18" s="182">
        <f t="shared" si="0"/>
        <v>3.9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647970</v>
      </c>
      <c r="D20" s="182">
        <f t="shared" si="0"/>
        <v>12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219635</v>
      </c>
      <c r="D21" s="182">
        <f t="shared" si="0"/>
        <v>4.0999999999999996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30522</v>
      </c>
      <c r="D25" s="182">
        <f t="shared" si="0"/>
        <v>0.6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38543.039999999994</v>
      </c>
      <c r="D27" s="182">
        <f t="shared" si="0"/>
        <v>0.7</v>
      </c>
    </row>
    <row r="28" spans="1:4" x14ac:dyDescent="0.2">
      <c r="B28" s="187" t="s">
        <v>722</v>
      </c>
      <c r="C28" s="180">
        <f>SUM(C10:C27)</f>
        <v>5389869.04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177322</v>
      </c>
    </row>
    <row r="30" spans="1:4" x14ac:dyDescent="0.2">
      <c r="B30" s="187" t="s">
        <v>728</v>
      </c>
      <c r="C30" s="180">
        <f>SUM(C28:C29)</f>
        <v>5567191.04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60000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4729950</v>
      </c>
      <c r="D35" s="182">
        <f t="shared" ref="D35:D40" si="1">ROUND((C35/$C$41)*100,1)</f>
        <v>80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1363.5999999996275</v>
      </c>
      <c r="D36" s="182">
        <f t="shared" si="1"/>
        <v>0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943684</v>
      </c>
      <c r="D37" s="182">
        <f t="shared" si="1"/>
        <v>16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100190</v>
      </c>
      <c r="D38" s="182">
        <f t="shared" si="1"/>
        <v>1.7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140439</v>
      </c>
      <c r="D39" s="182">
        <f t="shared" si="1"/>
        <v>2.4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5915626.5999999996</v>
      </c>
      <c r="D41" s="184">
        <f>SUM(D35:D40)</f>
        <v>100.10000000000001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HAMPTON FALLS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2017-08-21T17:44:59Z</cp:lastPrinted>
  <dcterms:created xsi:type="dcterms:W3CDTF">1997-12-04T19:04:30Z</dcterms:created>
  <dcterms:modified xsi:type="dcterms:W3CDTF">2017-11-29T17:27:23Z</dcterms:modified>
</cp:coreProperties>
</file>