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3040" windowHeight="86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19" i="12" l="1"/>
  <c r="C20" i="12"/>
  <c r="C10" i="12"/>
  <c r="D9" i="13"/>
  <c r="B20" i="12"/>
  <c r="F499" i="1"/>
  <c r="F498" i="1"/>
  <c r="H22" i="1"/>
  <c r="F367" i="1"/>
  <c r="I358" i="1"/>
  <c r="H358" i="1"/>
  <c r="G358" i="1"/>
  <c r="F358" i="1"/>
  <c r="H159" i="1"/>
  <c r="H155" i="1"/>
  <c r="G110" i="1"/>
  <c r="F57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C120" i="2"/>
  <c r="L222" i="1"/>
  <c r="L240" i="1"/>
  <c r="D39" i="13"/>
  <c r="F13" i="13"/>
  <c r="G13" i="13"/>
  <c r="L206" i="1"/>
  <c r="L224" i="1"/>
  <c r="L242" i="1"/>
  <c r="C19" i="10"/>
  <c r="F16" i="13"/>
  <c r="G16" i="13"/>
  <c r="L209" i="1"/>
  <c r="C125" i="2"/>
  <c r="L227" i="1"/>
  <c r="L245" i="1"/>
  <c r="F5" i="13"/>
  <c r="G5" i="13"/>
  <c r="L197" i="1"/>
  <c r="L198" i="1"/>
  <c r="L199" i="1"/>
  <c r="C111" i="2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C118" i="2"/>
  <c r="L220" i="1"/>
  <c r="L238" i="1"/>
  <c r="F7" i="13"/>
  <c r="G7" i="13"/>
  <c r="L203" i="1"/>
  <c r="L221" i="1"/>
  <c r="L239" i="1"/>
  <c r="F12" i="13"/>
  <c r="G12" i="13"/>
  <c r="L205" i="1"/>
  <c r="C18" i="10"/>
  <c r="L223" i="1"/>
  <c r="L241" i="1"/>
  <c r="F14" i="13"/>
  <c r="G14" i="13"/>
  <c r="L207" i="1"/>
  <c r="C123" i="2"/>
  <c r="L225" i="1"/>
  <c r="L243" i="1"/>
  <c r="F15" i="13"/>
  <c r="G15" i="13"/>
  <c r="L208" i="1"/>
  <c r="L226" i="1"/>
  <c r="G650" i="1"/>
  <c r="L244" i="1"/>
  <c r="H662" i="1"/>
  <c r="F17" i="13"/>
  <c r="G17" i="13"/>
  <c r="L251" i="1"/>
  <c r="F18" i="13"/>
  <c r="G18" i="13"/>
  <c r="L252" i="1"/>
  <c r="D18" i="13"/>
  <c r="C18" i="13"/>
  <c r="F19" i="13"/>
  <c r="D19" i="13"/>
  <c r="C19" i="13"/>
  <c r="G19" i="13"/>
  <c r="L253" i="1"/>
  <c r="F29" i="13"/>
  <c r="G29" i="13"/>
  <c r="L358" i="1"/>
  <c r="F661" i="1"/>
  <c r="L359" i="1"/>
  <c r="L360" i="1"/>
  <c r="I367" i="1"/>
  <c r="J290" i="1"/>
  <c r="J309" i="1"/>
  <c r="J328" i="1"/>
  <c r="K290" i="1"/>
  <c r="K309" i="1"/>
  <c r="K328" i="1"/>
  <c r="L276" i="1"/>
  <c r="E109" i="2"/>
  <c r="E115" i="2"/>
  <c r="L277" i="1"/>
  <c r="C11" i="10"/>
  <c r="L278" i="1"/>
  <c r="L279" i="1"/>
  <c r="L281" i="1"/>
  <c r="L282" i="1"/>
  <c r="L283" i="1"/>
  <c r="E120" i="2"/>
  <c r="L284" i="1"/>
  <c r="L285" i="1"/>
  <c r="E122" i="2"/>
  <c r="L286" i="1"/>
  <c r="L287" i="1"/>
  <c r="L288" i="1"/>
  <c r="L295" i="1"/>
  <c r="L296" i="1"/>
  <c r="L297" i="1"/>
  <c r="E111" i="2"/>
  <c r="L298" i="1"/>
  <c r="L300" i="1"/>
  <c r="E118" i="2"/>
  <c r="E128" i="2"/>
  <c r="L301" i="1"/>
  <c r="L302" i="1"/>
  <c r="L303" i="1"/>
  <c r="L304" i="1"/>
  <c r="L305" i="1"/>
  <c r="L306" i="1"/>
  <c r="E124" i="2"/>
  <c r="L307" i="1"/>
  <c r="L314" i="1"/>
  <c r="L328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/>
  <c r="L261" i="1"/>
  <c r="H25" i="13"/>
  <c r="L341" i="1"/>
  <c r="L35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E56" i="2"/>
  <c r="I60" i="1"/>
  <c r="F56" i="2"/>
  <c r="F79" i="1"/>
  <c r="F112" i="1"/>
  <c r="F94" i="1"/>
  <c r="C58" i="2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/>
  <c r="I147" i="1"/>
  <c r="I169" i="1"/>
  <c r="I162" i="1"/>
  <c r="C17" i="10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C29" i="10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L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D18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D31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D81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F78" i="2"/>
  <c r="F81" i="2"/>
  <c r="G77" i="2"/>
  <c r="G78" i="2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E88" i="2"/>
  <c r="F88" i="2"/>
  <c r="C89" i="2"/>
  <c r="D89" i="2"/>
  <c r="D91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2" i="2"/>
  <c r="C113" i="2"/>
  <c r="E113" i="2"/>
  <c r="C114" i="2"/>
  <c r="E114" i="2"/>
  <c r="D115" i="2"/>
  <c r="F115" i="2"/>
  <c r="G115" i="2"/>
  <c r="E119" i="2"/>
  <c r="E121" i="2"/>
  <c r="C122" i="2"/>
  <c r="E123" i="2"/>
  <c r="E125" i="2"/>
  <c r="F128" i="2"/>
  <c r="G128" i="2"/>
  <c r="C130" i="2"/>
  <c r="E130" i="2"/>
  <c r="F130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G619" i="1"/>
  <c r="I19" i="1"/>
  <c r="F32" i="1"/>
  <c r="F52" i="1"/>
  <c r="H617" i="1"/>
  <c r="G32" i="1"/>
  <c r="G52" i="1"/>
  <c r="H618" i="1"/>
  <c r="H32" i="1"/>
  <c r="I32" i="1"/>
  <c r="H51" i="1"/>
  <c r="I51" i="1"/>
  <c r="G625" i="1"/>
  <c r="F177" i="1"/>
  <c r="I177" i="1"/>
  <c r="F183" i="1"/>
  <c r="G183" i="1"/>
  <c r="G192" i="1"/>
  <c r="H183" i="1"/>
  <c r="H192" i="1"/>
  <c r="I183" i="1"/>
  <c r="J183" i="1"/>
  <c r="J192" i="1"/>
  <c r="F188" i="1"/>
  <c r="G188" i="1"/>
  <c r="H188" i="1"/>
  <c r="I188" i="1"/>
  <c r="F211" i="1"/>
  <c r="G211" i="1"/>
  <c r="G257" i="1"/>
  <c r="G27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/>
  <c r="H256" i="1"/>
  <c r="I256" i="1"/>
  <c r="J256" i="1"/>
  <c r="K256" i="1"/>
  <c r="F290" i="1"/>
  <c r="G290" i="1"/>
  <c r="G338" i="1"/>
  <c r="G352" i="1"/>
  <c r="H290" i="1"/>
  <c r="I290" i="1"/>
  <c r="F309" i="1"/>
  <c r="G309" i="1"/>
  <c r="H309" i="1"/>
  <c r="H338" i="1"/>
  <c r="H352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F408" i="1"/>
  <c r="H643" i="1"/>
  <c r="G393" i="1"/>
  <c r="H393" i="1"/>
  <c r="H408" i="1"/>
  <c r="H644" i="1"/>
  <c r="J644" i="1"/>
  <c r="I393" i="1"/>
  <c r="I408" i="1"/>
  <c r="F401" i="1"/>
  <c r="G401" i="1"/>
  <c r="G408" i="1"/>
  <c r="H645" i="1"/>
  <c r="H401" i="1"/>
  <c r="I401" i="1"/>
  <c r="F407" i="1"/>
  <c r="G407" i="1"/>
  <c r="H407" i="1"/>
  <c r="I407" i="1"/>
  <c r="L413" i="1"/>
  <c r="L419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I446" i="1"/>
  <c r="F452" i="1"/>
  <c r="G452" i="1"/>
  <c r="H452" i="1"/>
  <c r="H461" i="1"/>
  <c r="H641" i="1"/>
  <c r="J641" i="1"/>
  <c r="F460" i="1"/>
  <c r="G460" i="1"/>
  <c r="G461" i="1"/>
  <c r="H640" i="1"/>
  <c r="H460" i="1"/>
  <c r="I460" i="1"/>
  <c r="F470" i="1"/>
  <c r="G470" i="1"/>
  <c r="H470" i="1"/>
  <c r="I470" i="1"/>
  <c r="J470" i="1"/>
  <c r="J476" i="1"/>
  <c r="H626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I545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/>
  <c r="L563" i="1"/>
  <c r="L564" i="1"/>
  <c r="F565" i="1"/>
  <c r="G565" i="1"/>
  <c r="H565" i="1"/>
  <c r="I565" i="1"/>
  <c r="J565" i="1"/>
  <c r="K565" i="1"/>
  <c r="L567" i="1"/>
  <c r="L570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1" i="1"/>
  <c r="G642" i="1"/>
  <c r="G643" i="1"/>
  <c r="J643" i="1"/>
  <c r="G644" i="1"/>
  <c r="G651" i="1"/>
  <c r="G652" i="1"/>
  <c r="H652" i="1"/>
  <c r="G653" i="1"/>
  <c r="H653" i="1"/>
  <c r="G654" i="1"/>
  <c r="H654" i="1"/>
  <c r="H655" i="1"/>
  <c r="J655" i="1"/>
  <c r="F192" i="1"/>
  <c r="C26" i="10"/>
  <c r="A31" i="12"/>
  <c r="C70" i="2"/>
  <c r="A40" i="12"/>
  <c r="D17" i="13"/>
  <c r="C17" i="13"/>
  <c r="D6" i="13"/>
  <c r="C6" i="13"/>
  <c r="E8" i="13"/>
  <c r="C8" i="13"/>
  <c r="C78" i="2"/>
  <c r="D50" i="2"/>
  <c r="F18" i="2"/>
  <c r="E62" i="2"/>
  <c r="E31" i="2"/>
  <c r="G62" i="2"/>
  <c r="E78" i="2"/>
  <c r="E81" i="2"/>
  <c r="J257" i="1"/>
  <c r="J271" i="1"/>
  <c r="J571" i="1"/>
  <c r="K571" i="1"/>
  <c r="L433" i="1"/>
  <c r="G552" i="1"/>
  <c r="I476" i="1"/>
  <c r="H625" i="1"/>
  <c r="F169" i="1"/>
  <c r="J140" i="1"/>
  <c r="F571" i="1"/>
  <c r="I552" i="1"/>
  <c r="K550" i="1"/>
  <c r="G22" i="2"/>
  <c r="K545" i="1"/>
  <c r="H140" i="1"/>
  <c r="L393" i="1"/>
  <c r="A13" i="12"/>
  <c r="F22" i="13"/>
  <c r="H571" i="1"/>
  <c r="L560" i="1"/>
  <c r="C35" i="10"/>
  <c r="L309" i="1"/>
  <c r="I571" i="1"/>
  <c r="G36" i="2"/>
  <c r="K551" i="1"/>
  <c r="C22" i="13"/>
  <c r="C138" i="2"/>
  <c r="F476" i="1"/>
  <c r="H622" i="1"/>
  <c r="J622" i="1"/>
  <c r="J651" i="1"/>
  <c r="K598" i="1"/>
  <c r="G647" i="1"/>
  <c r="K605" i="1"/>
  <c r="G648" i="1"/>
  <c r="L544" i="1"/>
  <c r="J552" i="1"/>
  <c r="K549" i="1"/>
  <c r="K552" i="1"/>
  <c r="H552" i="1"/>
  <c r="H545" i="1"/>
  <c r="F552" i="1"/>
  <c r="G545" i="1"/>
  <c r="G161" i="2"/>
  <c r="G156" i="2"/>
  <c r="I369" i="1"/>
  <c r="H634" i="1"/>
  <c r="J634" i="1"/>
  <c r="H476" i="1"/>
  <c r="H624" i="1"/>
  <c r="G476" i="1"/>
  <c r="H623" i="1"/>
  <c r="J623" i="1"/>
  <c r="H661" i="1"/>
  <c r="D127" i="2"/>
  <c r="D128" i="2"/>
  <c r="D145" i="2"/>
  <c r="F338" i="1"/>
  <c r="F352" i="1"/>
  <c r="C10" i="10"/>
  <c r="L247" i="1"/>
  <c r="H660" i="1"/>
  <c r="I257" i="1"/>
  <c r="I271" i="1"/>
  <c r="L229" i="1"/>
  <c r="G660" i="1"/>
  <c r="C124" i="2"/>
  <c r="K257" i="1"/>
  <c r="K271" i="1"/>
  <c r="C25" i="10"/>
  <c r="C132" i="2"/>
  <c r="D7" i="13"/>
  <c r="C7" i="13"/>
  <c r="F662" i="1"/>
  <c r="H647" i="1"/>
  <c r="D15" i="13"/>
  <c r="C15" i="13"/>
  <c r="C20" i="10"/>
  <c r="C15" i="10"/>
  <c r="H257" i="1"/>
  <c r="H271" i="1"/>
  <c r="D14" i="13"/>
  <c r="C14" i="13"/>
  <c r="D12" i="13"/>
  <c r="C12" i="13"/>
  <c r="F257" i="1"/>
  <c r="F271" i="1"/>
  <c r="D62" i="2"/>
  <c r="D63" i="2"/>
  <c r="C91" i="2"/>
  <c r="C57" i="2"/>
  <c r="C62" i="2"/>
  <c r="C63" i="2"/>
  <c r="F461" i="1"/>
  <c r="H639" i="1"/>
  <c r="L401" i="1"/>
  <c r="C139" i="2"/>
  <c r="H52" i="1"/>
  <c r="H619" i="1"/>
  <c r="J619" i="1"/>
  <c r="J617" i="1"/>
  <c r="C18" i="2"/>
  <c r="J640" i="1"/>
  <c r="C25" i="13"/>
  <c r="H33" i="13"/>
  <c r="J639" i="1"/>
  <c r="C115" i="2"/>
  <c r="C81" i="2"/>
  <c r="L534" i="1"/>
  <c r="C119" i="2"/>
  <c r="F85" i="2"/>
  <c r="L211" i="1"/>
  <c r="C16" i="10"/>
  <c r="L362" i="1"/>
  <c r="C27" i="10"/>
  <c r="E13" i="13"/>
  <c r="C13" i="13"/>
  <c r="L290" i="1"/>
  <c r="L338" i="1"/>
  <c r="L352" i="1"/>
  <c r="G633" i="1"/>
  <c r="J633" i="1"/>
  <c r="G645" i="1"/>
  <c r="J645" i="1"/>
  <c r="K503" i="1"/>
  <c r="L382" i="1"/>
  <c r="G636" i="1"/>
  <c r="J636" i="1"/>
  <c r="G81" i="2"/>
  <c r="G662" i="1"/>
  <c r="J625" i="1"/>
  <c r="C13" i="10"/>
  <c r="E16" i="13"/>
  <c r="L614" i="1"/>
  <c r="C21" i="10"/>
  <c r="C12" i="10"/>
  <c r="E63" i="2"/>
  <c r="D5" i="13"/>
  <c r="C5" i="13"/>
  <c r="H112" i="1"/>
  <c r="D29" i="13"/>
  <c r="C29" i="13"/>
  <c r="G624" i="1"/>
  <c r="K500" i="1"/>
  <c r="I452" i="1"/>
  <c r="I461" i="1"/>
  <c r="H642" i="1"/>
  <c r="J642" i="1"/>
  <c r="I52" i="1"/>
  <c r="H620" i="1"/>
  <c r="C121" i="2"/>
  <c r="G661" i="1"/>
  <c r="I661" i="1"/>
  <c r="G649" i="1"/>
  <c r="J649" i="1"/>
  <c r="L524" i="1"/>
  <c r="L545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F104" i="2"/>
  <c r="E50" i="2"/>
  <c r="E51" i="2"/>
  <c r="C50" i="2"/>
  <c r="F31" i="2"/>
  <c r="C31" i="2"/>
  <c r="E18" i="2"/>
  <c r="E144" i="2"/>
  <c r="F50" i="2"/>
  <c r="F51" i="2"/>
  <c r="E145" i="2"/>
  <c r="C24" i="10"/>
  <c r="G31" i="13"/>
  <c r="G33" i="13"/>
  <c r="I338" i="1"/>
  <c r="I352" i="1"/>
  <c r="J650" i="1"/>
  <c r="L407" i="1"/>
  <c r="C140" i="2"/>
  <c r="C141" i="2"/>
  <c r="C144" i="2"/>
  <c r="L571" i="1"/>
  <c r="I192" i="1"/>
  <c r="E91" i="2"/>
  <c r="E104" i="2"/>
  <c r="D51" i="2"/>
  <c r="J654" i="1"/>
  <c r="J653" i="1"/>
  <c r="F144" i="2"/>
  <c r="F145" i="2" s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F33" i="13"/>
  <c r="J193" i="1"/>
  <c r="G646" i="1"/>
  <c r="H193" i="1"/>
  <c r="G629" i="1"/>
  <c r="J629" i="1"/>
  <c r="G169" i="1"/>
  <c r="C39" i="10"/>
  <c r="G140" i="1"/>
  <c r="F140" i="1"/>
  <c r="F193" i="1"/>
  <c r="G627" i="1"/>
  <c r="J627" i="1"/>
  <c r="C36" i="10"/>
  <c r="G63" i="2"/>
  <c r="J618" i="1"/>
  <c r="G42" i="2"/>
  <c r="J51" i="1"/>
  <c r="G16" i="2"/>
  <c r="G18" i="2"/>
  <c r="J19" i="1"/>
  <c r="G621" i="1"/>
  <c r="F545" i="1"/>
  <c r="H434" i="1"/>
  <c r="J620" i="1"/>
  <c r="D103" i="2"/>
  <c r="I140" i="1"/>
  <c r="I193" i="1"/>
  <c r="G630" i="1"/>
  <c r="J630" i="1"/>
  <c r="A22" i="12"/>
  <c r="G50" i="2"/>
  <c r="H648" i="1"/>
  <c r="J652" i="1"/>
  <c r="G571" i="1"/>
  <c r="I434" i="1"/>
  <c r="G434" i="1"/>
  <c r="I663" i="1"/>
  <c r="J647" i="1"/>
  <c r="J648" i="1"/>
  <c r="J624" i="1"/>
  <c r="H664" i="1"/>
  <c r="H672" i="1"/>
  <c r="C6" i="10"/>
  <c r="G635" i="1"/>
  <c r="J635" i="1"/>
  <c r="L257" i="1"/>
  <c r="L271" i="1"/>
  <c r="G632" i="1"/>
  <c r="J632" i="1"/>
  <c r="I662" i="1"/>
  <c r="C128" i="2"/>
  <c r="C145" i="2"/>
  <c r="C28" i="10"/>
  <c r="D16" i="10"/>
  <c r="F660" i="1"/>
  <c r="F664" i="1"/>
  <c r="F667" i="1"/>
  <c r="D104" i="2"/>
  <c r="C104" i="2"/>
  <c r="L408" i="1"/>
  <c r="G51" i="2"/>
  <c r="D31" i="13"/>
  <c r="C31" i="13"/>
  <c r="G664" i="1"/>
  <c r="E33" i="13"/>
  <c r="D35" i="13"/>
  <c r="C16" i="13"/>
  <c r="G104" i="2"/>
  <c r="C51" i="2"/>
  <c r="G631" i="1"/>
  <c r="J631" i="1"/>
  <c r="G193" i="1"/>
  <c r="G628" i="1"/>
  <c r="J628" i="1"/>
  <c r="G626" i="1"/>
  <c r="J626" i="1"/>
  <c r="J52" i="1"/>
  <c r="H621" i="1"/>
  <c r="J621" i="1"/>
  <c r="C38" i="10"/>
  <c r="H667" i="1"/>
  <c r="D33" i="13"/>
  <c r="D36" i="13"/>
  <c r="D21" i="10"/>
  <c r="D13" i="10"/>
  <c r="D26" i="10"/>
  <c r="D15" i="10"/>
  <c r="D19" i="10"/>
  <c r="D27" i="10"/>
  <c r="D24" i="10"/>
  <c r="D10" i="10"/>
  <c r="C30" i="10"/>
  <c r="D23" i="10"/>
  <c r="I660" i="1"/>
  <c r="I664" i="1"/>
  <c r="I672" i="1"/>
  <c r="C7" i="10"/>
  <c r="F672" i="1"/>
  <c r="C4" i="10"/>
  <c r="D11" i="10"/>
  <c r="D22" i="10"/>
  <c r="D17" i="10"/>
  <c r="D20" i="10"/>
  <c r="D25" i="10"/>
  <c r="D18" i="10"/>
  <c r="D12" i="10"/>
  <c r="G637" i="1"/>
  <c r="J637" i="1"/>
  <c r="H646" i="1"/>
  <c r="J646" i="1"/>
  <c r="G667" i="1"/>
  <c r="G672" i="1"/>
  <c r="C5" i="10"/>
  <c r="C41" i="10"/>
  <c r="D38" i="10"/>
  <c r="D28" i="10"/>
  <c r="I667" i="1"/>
  <c r="H656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<sst xmlns="http://schemas.openxmlformats.org/spreadsheetml/2006/main" count="3961" uniqueCount="919">
  <si>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</si>
  <si>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</si>
  <si>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</si>
  <si>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</si>
  <si>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</si>
  <si>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</si>
  <si>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</si>
  <si>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</si>
  <si>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</si>
  <si>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</si>
  <si>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</si>
  <si>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</si>
  <si>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</si>
  <si>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</si>
  <si>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</si>
  <si>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</si>
  <si>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</si>
  <si>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</si>
  <si>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</si>
  <si>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</si>
  <si>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</si>
  <si>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</si>
  <si>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</si>
  <si>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</si>
  <si>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</si>
  <si>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</si>
  <si>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</si>
  <si>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</si>
  <si>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</si>
  <si>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</si>
  <si>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</si>
  <si>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</si>
  <si>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</si>
  <si>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</si>
  <si>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</si>
  <si>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</si>
  <si>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</si>
  <si>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</si>
  <si>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</si>
  <si>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</si>
  <si>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</si>
  <si>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</si>
  <si>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</si>
  <si>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</si>
  <si>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</si>
  <si>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</si>
  <si>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</si>
  <si>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</si>
  <si>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</si>
  <si>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</si>
  <si>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</si>
  <si>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</si>
  <si>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</si>
  <si>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</si>
  <si>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</si>
  <si>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</si>
  <si>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</si>
  <si>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</si>
  <si>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</si>
  <si>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</si>
  <si>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</si>
  <si>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</si>
  <si>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</si>
  <si>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</si>
  <si>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</si>
  <si>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</si>
  <si>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</si>
  <si>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</si>
  <si>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</si>
  <si>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</si>
  <si>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</si>
  <si>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</si>
  <si>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</si>
  <si>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</si>
  <si>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</si>
  <si>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</si>
  <si>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</si>
  <si>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</si>
  <si>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</si>
  <si>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</si>
  <si>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</si>
  <si>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</si>
  <si>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</si>
  <si>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</si>
  <si>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</si>
  <si>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</si>
  <si>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</si>
  <si>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</si>
  <si>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</si>
  <si>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</si>
  <si>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</si>
  <si>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</si>
  <si>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</si>
  <si>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</si>
  <si>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</si>
  <si>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</si>
  <si>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</si>
  <si>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</si>
  <si>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</si>
  <si>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</si>
  <si>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</si>
  <si>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</si>
  <si>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</si>
  <si>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</si>
  <si>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</si>
  <si>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</si>
  <si>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</si>
  <si>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</si>
  <si>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</si>
  <si>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</si>
  <si>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</si>
  <si>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</si>
  <si>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</si>
  <si>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</si>
  <si>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</si>
  <si>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</si>
  <si>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</si>
  <si>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</si>
  <si>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</si>
  <si>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</si>
  <si>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</si>
  <si>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</si>
  <si>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</si>
  <si>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</si>
  <si>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</si>
  <si>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</si>
  <si>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</si>
  <si>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</si>
  <si>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</si>
  <si>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</si>
  <si>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</si>
  <si>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</si>
  <si>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</si>
  <si>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</si>
  <si>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</si>
  <si>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</si>
  <si>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</si>
  <si>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</si>
  <si>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</si>
  <si>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</si>
  <si>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</si>
  <si>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</si>
  <si>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</si>
  <si>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</si>
  <si>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</si>
  <si>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</si>
  <si>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</si>
  <si>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</si>
  <si>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</si>
  <si>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</si>
  <si>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</si>
  <si>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</si>
  <si>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</si>
  <si>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</si>
  <si>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</si>
  <si>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</si>
  <si>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</si>
  <si>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</si>
  <si>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</si>
  <si>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</si>
  <si>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</si>
  <si>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</si>
  <si>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</si>
  <si>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</si>
  <si>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</si>
  <si>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</si>
  <si>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</si>
  <si>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</si>
  <si>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</si>
  <si>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</si>
  <si>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</si>
  <si>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</si>
  <si>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</si>
  <si>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</si>
  <si>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</si>
  <si>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</si>
  <si>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</si>
  <si>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</si>
  <si>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</si>
  <si>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</si>
  <si>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</si>
  <si>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</si>
  <si>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</si>
  <si>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</si>
  <si>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</si>
  <si>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</si>
  <si>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</si>
  <si>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</si>
  <si>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</si>
  <si>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</si>
  <si>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</si>
  <si>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</si>
  <si>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</si>
  <si>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</si>
  <si>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</si>
  <si>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</si>
  <si>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</si>
  <si>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</si>
  <si>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</si>
  <si>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</si>
  <si>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</si>
  <si>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</si>
  <si>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</si>
  <si>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</si>
  <si>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</si>
  <si>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</si>
  <si>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</si>
  <si>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</si>
  <si>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</si>
  <si>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</si>
  <si>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</si>
  <si>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</si>
  <si>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</si>
  <si>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</si>
  <si>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</si>
  <si>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</si>
  <si>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</si>
  <si>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</si>
  <si>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</si>
  <si>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</si>
  <si>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</si>
  <si>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</si>
  <si>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</si>
  <si>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</si>
  <si>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</si>
  <si>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</si>
  <si>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</si>
  <si>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</si>
  <si>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</si>
  <si>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</si>
  <si>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</si>
  <si>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</si>
  <si>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</si>
  <si>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</si>
  <si>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</si>
  <si>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</si>
  <si>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</si>
  <si>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</si>
  <si>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</si>
  <si>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</si>
  <si>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</si>
  <si>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</si>
  <si>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</si>
  <si>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</si>
  <si>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</si>
  <si>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</si>
  <si>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</si>
  <si>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</si>
  <si>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</si>
  <si>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</si>
  <si>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</si>
  <si>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</si>
  <si>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</si>
  <si>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</si>
  <si>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</si>
  <si>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</si>
  <si>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</si>
  <si>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</si>
  <si>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</si>
  <si>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</si>
  <si>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</si>
  <si>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</si>
  <si>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</si>
  <si>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</si>
  <si>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</si>
  <si>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</si>
  <si>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</si>
  <si>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</si>
  <si>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</si>
  <si>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</si>
  <si>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</si>
  <si>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</si>
  <si>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</si>
  <si>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</si>
  <si>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</si>
  <si>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</si>
  <si>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</si>
  <si>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</si>
  <si>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</si>
  <si>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</si>
  <si>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</si>
  <si>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</si>
  <si>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</si>
  <si>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</si>
  <si>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</si>
  <si>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</si>
  <si>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</si>
  <si>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</si>
  <si>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</si>
  <si>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</si>
  <si>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</si>
  <si>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</si>
  <si>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</si>
  <si>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</si>
  <si>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</si>
  <si>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</si>
  <si>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</si>
  <si>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</si>
  <si>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</si>
  <si>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</si>
  <si>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</si>
  <si>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</si>
  <si>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</si>
  <si>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</si>
  <si>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</si>
  <si>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</si>
  <si>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</si>
  <si>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</si>
  <si>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</si>
  <si>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</si>
  <si>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</si>
  <si>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</si>
  <si>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</si>
  <si>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</si>
  <si>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</si>
  <si>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</si>
  <si>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</si>
  <si>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</si>
  <si>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</si>
  <si>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</si>
  <si>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</si>
  <si>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</si>
  <si>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</si>
  <si>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</si>
  <si>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</si>
  <si>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</si>
  <si>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</si>
  <si>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</si>
  <si>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</si>
  <si>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</si>
  <si>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</si>
  <si>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</si>
  <si>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</si>
  <si>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</si>
  <si>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</si>
  <si>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</si>
  <si>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</si>
  <si>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</si>
  <si>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</si>
  <si>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</si>
  <si>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</si>
  <si>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</si>
  <si>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</si>
  <si>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</si>
  <si>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</si>
  <si>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</si>
  <si>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</si>
  <si>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</si>
  <si>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</si>
  <si>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</si>
  <si>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</si>
  <si>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</si>
  <si>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</si>
  <si>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</si>
  <si>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</si>
  <si>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</si>
  <si>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</si>
  <si>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</si>
  <si>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</si>
  <si>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</si>
  <si>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</si>
  <si>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</si>
  <si>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</si>
  <si>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</si>
  <si>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</si>
  <si>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</si>
  <si>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</si>
  <si>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</si>
  <si>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</si>
  <si>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</si>
  <si>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</si>
  <si>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</si>
  <si>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</si>
  <si>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</si>
  <si>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</si>
  <si>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</si>
  <si>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</si>
  <si>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</si>
  <si>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</si>
  <si>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</si>
  <si>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</si>
  <si>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</si>
  <si>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</si>
  <si>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</si>
  <si>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</si>
  <si>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</si>
  <si>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</si>
  <si>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</si>
  <si>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</si>
  <si>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</si>
  <si>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</si>
  <si>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</si>
  <si>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</si>
  <si>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</si>
  <si>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</si>
  <si>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</si>
  <si>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</si>
  <si>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</si>
  <si>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</si>
  <si>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</si>
  <si>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</si>
  <si>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</si>
  <si>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</si>
  <si>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</si>
  <si>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</si>
  <si>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</si>
  <si>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</si>
  <si>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</si>
  <si>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</si>
  <si>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</si>
  <si>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</si>
  <si>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</si>
  <si>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</si>
  <si>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</si>
  <si>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</si>
  <si>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</si>
  <si>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</si>
  <si>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</si>
  <si>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</si>
  <si>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</si>
  <si>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</si>
  <si>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</si>
  <si>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</si>
  <si>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</si>
  <si>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</si>
  <si>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</si>
  <si>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</si>
  <si>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</si>
  <si>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</si>
  <si>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</si>
  <si>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</si>
  <si>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</si>
  <si>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</si>
  <si>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</si>
  <si>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</si>
  <si>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</si>
  <si>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</si>
  <si>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</si>
  <si>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</si>
  <si>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</si>
  <si>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</si>
  <si>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</si>
  <si>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</si>
  <si>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</si>
  <si>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</si>
  <si>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</si>
  <si>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</si>
  <si>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</si>
  <si>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</si>
  <si>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</si>
  <si>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</si>
  <si>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</si>
  <si>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</si>
  <si>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</si>
  <si>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</si>
  <si>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</si>
  <si>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</si>
  <si>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</si>
  <si>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</si>
  <si>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</si>
  <si>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</si>
  <si>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</si>
  <si>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</si>
  <si>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</si>
  <si>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</si>
  <si>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</si>
  <si>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</si>
  <si>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</si>
  <si>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</si>
  <si>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</si>
  <si>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</si>
  <si>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</si>
  <si>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</si>
  <si>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</si>
  <si>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</si>
  <si>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</si>
  <si>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</si>
  <si>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</si>
  <si>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</si>
  <si>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</si>
  <si>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</si>
  <si>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</si>
  <si>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</si>
  <si>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</si>
  <si>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</si>
  <si>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</si>
  <si>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</si>
  <si>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</si>
  <si>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</si>
  <si>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</si>
  <si>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</si>
  <si>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</si>
  <si>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</si>
  <si>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</si>
  <si>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</si>
  <si>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</si>
  <si>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</si>
  <si>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</si>
  <si>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</si>
  <si>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</si>
  <si>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</si>
  <si>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</si>
  <si>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</si>
  <si>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</si>
  <si>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</si>
  <si>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</si>
  <si>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</si>
  <si>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</si>
  <si>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</si>
  <si>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</si>
  <si>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</si>
  <si>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</si>
  <si>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</si>
  <si>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</si>
  <si>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</si>
  <si>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</si>
  <si>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</si>
  <si>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</si>
  <si>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</si>
  <si>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</si>
  <si>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</si>
  <si>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</si>
  <si>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</si>
  <si>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</si>
  <si>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</si>
  <si>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</si>
  <si>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</si>
  <si>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</si>
  <si>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</si>
  <si>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</si>
  <si>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</si>
  <si>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</si>
  <si>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</si>
  <si>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</si>
  <si>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</si>
  <si>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</si>
  <si>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</si>
  <si>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</si>
  <si>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</si>
  <si>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</si>
  <si>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</si>
  <si>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</si>
  <si>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</si>
  <si>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</si>
  <si>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</si>
  <si>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</si>
  <si>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</si>
  <si>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</si>
  <si>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</si>
  <si>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</si>
  <si>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</si>
  <si>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</si>
  <si>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</si>
  <si>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</si>
  <si>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</si>
  <si>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</si>
  <si>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</si>
  <si>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</si>
  <si>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</si>
  <si>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</si>
  <si>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</si>
  <si>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</si>
  <si>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</si>
  <si>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</si>
  <si>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</si>
  <si>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</si>
  <si>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</si>
  <si>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</si>
  <si>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</si>
  <si>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</si>
  <si>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</si>
  <si>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</si>
  <si>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</si>
  <si>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</si>
  <si>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</si>
  <si>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</si>
  <si>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</si>
  <si>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</si>
  <si>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</si>
  <si>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</si>
  <si>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</si>
  <si>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</si>
  <si>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</si>
  <si>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</si>
  <si>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</si>
  <si>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</si>
  <si>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</si>
  <si>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</si>
  <si>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</si>
  <si>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</si>
  <si>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</si>
  <si>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</si>
  <si>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</si>
  <si>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</si>
  <si>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</si>
  <si>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</si>
  <si>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</si>
  <si>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</si>
  <si>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</si>
  <si>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</si>
  <si>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</si>
  <si>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</si>
  <si>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</si>
  <si>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</si>
  <si>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</si>
  <si>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</si>
  <si>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</si>
  <si>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</si>
  <si>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</si>
  <si>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</si>
  <si>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</si>
  <si>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</si>
  <si>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</si>
  <si>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</si>
  <si>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</si>
  <si>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</si>
  <si>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</si>
  <si>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</si>
  <si>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</si>
  <si>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</si>
  <si>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</si>
  <si>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</si>
  <si>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</si>
  <si>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</si>
  <si>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</si>
  <si>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</si>
  <si>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</si>
  <si>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</si>
  <si>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</si>
  <si>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</si>
  <si>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</si>
  <si>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</si>
  <si>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</si>
  <si>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</si>
  <si>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</si>
  <si>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</si>
  <si>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</si>
  <si>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</si>
  <si>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</si>
  <si>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</si>
  <si>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</si>
  <si>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</si>
  <si>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</si>
  <si>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</si>
  <si>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</si>
  <si>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</si>
  <si>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</si>
  <si>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</si>
  <si>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</si>
  <si>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</si>
  <si>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</si>
  <si>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</si>
  <si>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</si>
  <si>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</si>
  <si>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</si>
  <si>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</si>
  <si>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</si>
  <si>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</si>
  <si>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</si>
  <si>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</si>
  <si>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</si>
  <si>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</si>
  <si>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</si>
  <si>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</si>
  <si>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</si>
  <si>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</si>
  <si>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</si>
  <si>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</si>
  <si>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</si>
  <si>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</si>
  <si>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</si>
  <si>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</si>
  <si>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</si>
  <si>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</si>
  <si>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</si>
  <si>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</si>
  <si>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</si>
  <si>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</si>
  <si>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</si>
  <si>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</si>
  <si>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</si>
  <si>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</si>
  <si>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</si>
  <si>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</si>
  <si>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</si>
  <si>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</si>
  <si>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</si>
  <si>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</si>
  <si>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</si>
  <si>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</si>
  <si>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</si>
  <si>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</si>
  <si>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</si>
  <si>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</si>
  <si>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</si>
  <si>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</si>
  <si>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</si>
  <si>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</si>
  <si>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</si>
  <si>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</si>
  <si>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</si>
  <si>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</si>
  <si>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</si>
  <si>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</si>
  <si>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</si>
  <si>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</si>
  <si>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</si>
  <si>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</si>
  <si>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</si>
  <si>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</si>
  <si>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</si>
  <si>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</si>
  <si>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</si>
  <si>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</si>
  <si>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</si>
  <si>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</si>
  <si>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</si>
  <si>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</si>
  <si>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</si>
  <si>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</si>
  <si>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</si>
  <si>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</si>
  <si>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</si>
  <si>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</si>
  <si>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</si>
  <si>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</si>
  <si>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</si>
  <si>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</si>
  <si>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</si>
  <si>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</si>
  <si>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</si>
  <si>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</si>
  <si>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</si>
  <si>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</si>
  <si>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</si>
  <si>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</si>
  <si>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</si>
  <si>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</si>
  <si>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</si>
  <si>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</si>
  <si>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</si>
  <si>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</si>
  <si>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</si>
  <si>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</si>
  <si>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</si>
  <si>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</si>
  <si>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</si>
  <si>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</si>
  <si>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</si>
  <si>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</si>
  <si>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</si>
  <si>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</si>
  <si>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</si>
  <si>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</si>
  <si>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</si>
  <si>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</si>
  <si>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</si>
  <si>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</si>
  <si>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</si>
  <si>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</si>
  <si>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</si>
  <si>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</si>
  <si>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</si>
  <si>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</si>
  <si>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</si>
  <si>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</si>
  <si>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</si>
  <si>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</si>
  <si>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</si>
  <si>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</si>
  <si>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</si>
  <si>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</si>
  <si>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</si>
  <si>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</si>
  <si>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</si>
  <si>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</si>
  <si>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</si>
  <si>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</si>
  <si>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</si>
  <si>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</si>
  <si>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</si>
  <si>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</si>
  <si>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</si>
  <si>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</si>
  <si>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</si>
  <si>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</si>
  <si>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</si>
  <si>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</si>
  <si>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</si>
  <si>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</si>
  <si>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</si>
  <si>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</si>
  <si>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</si>
  <si>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</si>
  <si>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</si>
  <si>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</si>
  <si>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</si>
  <si>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</si>
  <si>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</si>
  <si>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</si>
  <si>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</si>
  <si>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</si>
  <si>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</si>
  <si>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</si>
  <si>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</si>
  <si>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</si>
  <si>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</si>
  <si>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</si>
  <si>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</si>
  <si>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</si>
  <si>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</si>
  <si>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</si>
  <si>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</si>
  <si>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</si>
  <si>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</si>
  <si>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</si>
  <si>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</si>
  <si>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</si>
  <si>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</si>
  <si>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</si>
  <si>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</si>
  <si>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</si>
  <si>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</si>
  <si>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</si>
  <si>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</si>
  <si>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</si>
  <si>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</si>
  <si>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</si>
  <si>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</si>
  <si>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</si>
  <si>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</si>
  <si>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</si>
  <si>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</si>
  <si>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</si>
  <si>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</si>
  <si>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</si>
  <si>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</si>
  <si>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</si>
  <si>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</si>
  <si>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</si>
  <si>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</si>
  <si>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</si>
  <si>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</si>
  <si>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</si>
  <si>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</si>
  <si>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</si>
  <si>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</si>
  <si>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</si>
  <si>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</si>
  <si>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</si>
  <si>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</si>
  <si>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</si>
  <si>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</si>
  <si>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</si>
  <si>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</si>
  <si>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</si>
  <si>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</si>
  <si>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</si>
  <si>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</si>
  <si>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</si>
  <si>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</si>
  <si>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</si>
  <si>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</si>
  <si>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</si>
  <si>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</si>
  <si>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</si>
  <si>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</si>
  <si>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</si>
  <si>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</si>
  <si>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</si>
  <si>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</si>
  <si>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</si>
  <si>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</si>
  <si>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</si>
  <si>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</si>
  <si>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</si>
  <si>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</si>
  <si>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</si>
  <si>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</si>
  <si>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</si>
  <si>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</si>
  <si>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</si>
  <si>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</si>
  <si>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</si>
  <si>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</si>
  <si>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</si>
  <si>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</si>
  <si>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</si>
  <si>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</si>
  <si>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</si>
  <si>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</si>
  <si>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</si>
  <si>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</si>
  <si>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</si>
  <si>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</si>
  <si>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</si>
  <si>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</si>
  <si>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</si>
  <si>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</si>
  <si>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</si>
  <si>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</si>
  <si>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</si>
  <si>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</si>
  <si>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</si>
  <si>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</si>
  <si>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</si>
  <si>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</si>
  <si>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</si>
  <si>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</si>
  <si>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</si>
  <si>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</si>
  <si>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</si>
  <si>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Hanover School District</t>
  </si>
  <si>
    <t>food - auditor adjust during 15-16</t>
  </si>
  <si>
    <t>auditor adj prior year</t>
  </si>
  <si>
    <t>adj  in special gift funds</t>
  </si>
  <si>
    <t>02/15</t>
  </si>
  <si>
    <t>02/36</t>
  </si>
  <si>
    <t>auditor adjustments for prior yr FYE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</si>
</sst>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233</v>
      </c>
      <c r="C2" s="21">
        <v>233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100+166984.4+451732.88</f>
        <v>618817.28000000003</v>
      </c>
      <c r="G9" s="18"/>
      <c r="H9" s="18"/>
      <c r="I9" s="18"/>
      <c r="J9" s="67">
        <f>SUM(I439)</f>
        <v>1728791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12174.44</v>
      </c>
      <c r="G13" s="18"/>
      <c r="H13" s="18">
        <v>23767.16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415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988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632394.72</v>
      </c>
      <c r="G19" s="41">
        <f>SUM(G9:G18)</f>
        <v>0</v>
      </c>
      <c r="H19" s="41">
        <f>SUM(H9:H18)</f>
        <v>23767.16</v>
      </c>
      <c r="I19" s="41">
        <f>SUM(I9:I18)</f>
        <v>0</v>
      </c>
      <c r="J19" s="41">
        <f>SUM(J9:J18)</f>
        <v>1728791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39093.660000000003</v>
      </c>
      <c r="G22" s="18">
        <v>-12083.26</v>
      </c>
      <c r="H22" s="18">
        <f>23767.16-45170.57</f>
        <v>-21403.41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79960.740000000005</v>
      </c>
      <c r="G24" s="18">
        <v>1150.1300000000001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23973.8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1852.19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84250</v>
      </c>
      <c r="G31" s="18">
        <v>10933.13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229130.39</v>
      </c>
      <c r="G32" s="41">
        <f>SUM(G22:G31)</f>
        <v>0</v>
      </c>
      <c r="H32" s="41">
        <f>SUM(H22:H31)</f>
        <v>-21403.41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988</v>
      </c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45170.57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36521.56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1728791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265754.77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403264.33</v>
      </c>
      <c r="G51" s="41">
        <f>SUM(G35:G50)</f>
        <v>0</v>
      </c>
      <c r="H51" s="41">
        <f>SUM(H35:H50)</f>
        <v>45170.57</v>
      </c>
      <c r="I51" s="41">
        <f>SUM(I35:I50)</f>
        <v>0</v>
      </c>
      <c r="J51" s="41">
        <f>SUM(J35:J50)</f>
        <v>1728791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632394.72</v>
      </c>
      <c r="G52" s="41">
        <f>G51+G32</f>
        <v>0</v>
      </c>
      <c r="H52" s="41">
        <f>H51+H32</f>
        <v>23767.16</v>
      </c>
      <c r="I52" s="41">
        <f>I51+I32</f>
        <v>0</v>
      </c>
      <c r="J52" s="41">
        <f>J51+J32</f>
        <v>1728791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10317733-80000</f>
        <v>10237733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10237733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5590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170942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176532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17273.93</v>
      </c>
      <c r="G96" s="18"/>
      <c r="H96" s="18"/>
      <c r="I96" s="18"/>
      <c r="J96" s="18">
        <v>130370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161659.04999999999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6975.5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37552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966.88</v>
      </c>
      <c r="G110" s="18">
        <f>143.75+99</f>
        <v>242.75</v>
      </c>
      <c r="H110" s="18"/>
      <c r="I110" s="18"/>
      <c r="J110" s="18"/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62768.31</v>
      </c>
      <c r="G111" s="41">
        <f>SUM(G96:G110)</f>
        <v>161901.79999999999</v>
      </c>
      <c r="H111" s="41">
        <f>SUM(H96:H110)</f>
        <v>0</v>
      </c>
      <c r="I111" s="41">
        <f>SUM(I96:I110)</f>
        <v>0</v>
      </c>
      <c r="J111" s="41">
        <f>SUM(J96:J110)</f>
        <v>130370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10477033.310000001</v>
      </c>
      <c r="G112" s="41">
        <f>G60+G111</f>
        <v>161901.79999999999</v>
      </c>
      <c r="H112" s="41">
        <f>H60+H79+H94+H111</f>
        <v>0</v>
      </c>
      <c r="I112" s="41">
        <f>I60+I111</f>
        <v>0</v>
      </c>
      <c r="J112" s="41">
        <f>J60+J111</f>
        <v>130370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2482574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2482574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85116.45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549532.73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634649.17999999993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3117223.1799999997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8501.46+12880.13+3000</f>
        <v>24381.589999999997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92817+5333</f>
        <v>98150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188912.29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188912.29</v>
      </c>
      <c r="G162" s="41">
        <f>SUM(G150:G161)</f>
        <v>0</v>
      </c>
      <c r="H162" s="41">
        <f>SUM(H150:H161)</f>
        <v>122531.59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3342.36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192254.65</v>
      </c>
      <c r="G169" s="41">
        <f>G147+G162+SUM(G163:G168)</f>
        <v>0</v>
      </c>
      <c r="H169" s="41">
        <f>H147+H162+SUM(H163:H168)</f>
        <v>122531.59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50954.23</v>
      </c>
      <c r="H179" s="18"/>
      <c r="I179" s="18"/>
      <c r="J179" s="18">
        <v>125000</v>
      </c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50954.23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50954.23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13786511.140000001</v>
      </c>
      <c r="G193" s="47">
        <f>G112+G140+G169+G192</f>
        <v>212856.03</v>
      </c>
      <c r="H193" s="47">
        <f>H112+H140+H169+H192</f>
        <v>122531.59</v>
      </c>
      <c r="I193" s="47">
        <f>I112+I140+I169+I192</f>
        <v>0</v>
      </c>
      <c r="J193" s="47">
        <f>J112+J140+J192</f>
        <v>255370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3045240.41</v>
      </c>
      <c r="G197" s="18">
        <v>1276371.71</v>
      </c>
      <c r="H197" s="18">
        <v>2108405.77</v>
      </c>
      <c r="I197" s="18">
        <v>67889.320000000007</v>
      </c>
      <c r="J197" s="18">
        <v>57219.73</v>
      </c>
      <c r="K197" s="18"/>
      <c r="L197" s="19">
        <f>SUM(F197:K197)</f>
        <v>6555126.9400000013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1500158.58</v>
      </c>
      <c r="G198" s="18">
        <v>729077.01</v>
      </c>
      <c r="H198" s="18">
        <v>254747.04</v>
      </c>
      <c r="I198" s="18">
        <v>9998.2900000000009</v>
      </c>
      <c r="J198" s="18">
        <v>5310.73</v>
      </c>
      <c r="K198" s="18">
        <v>605.4</v>
      </c>
      <c r="L198" s="19">
        <f>SUM(F198:K198)</f>
        <v>2499897.0499999998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196274.05</v>
      </c>
      <c r="G202" s="18">
        <v>107557.18</v>
      </c>
      <c r="H202" s="18">
        <v>2162.4</v>
      </c>
      <c r="I202" s="18">
        <v>1422.04</v>
      </c>
      <c r="J202" s="18"/>
      <c r="K202" s="18"/>
      <c r="L202" s="19">
        <f t="shared" ref="L202:L208" si="0">SUM(F202:K202)</f>
        <v>307415.67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99580.62</v>
      </c>
      <c r="G203" s="18">
        <v>103528.82</v>
      </c>
      <c r="H203" s="18">
        <v>11178.97</v>
      </c>
      <c r="I203" s="18">
        <v>13859.43</v>
      </c>
      <c r="J203" s="18">
        <v>4092.9</v>
      </c>
      <c r="K203" s="18"/>
      <c r="L203" s="19">
        <f t="shared" si="0"/>
        <v>232240.74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8280</v>
      </c>
      <c r="G204" s="18">
        <v>654.30999999999995</v>
      </c>
      <c r="H204" s="18">
        <v>411141.11</v>
      </c>
      <c r="I204" s="18"/>
      <c r="J204" s="18"/>
      <c r="K204" s="18">
        <v>4637.8900000000003</v>
      </c>
      <c r="L204" s="19">
        <f t="shared" si="0"/>
        <v>424713.31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271149.09000000003</v>
      </c>
      <c r="G205" s="18">
        <v>328769.5</v>
      </c>
      <c r="H205" s="18">
        <v>28437.01</v>
      </c>
      <c r="I205" s="18">
        <v>11890.86</v>
      </c>
      <c r="J205" s="18">
        <v>2887.36</v>
      </c>
      <c r="K205" s="18">
        <v>305</v>
      </c>
      <c r="L205" s="19">
        <f t="shared" si="0"/>
        <v>643438.82000000007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211721.85</v>
      </c>
      <c r="G207" s="18">
        <v>90470.07</v>
      </c>
      <c r="H207" s="18">
        <v>141745.95000000001</v>
      </c>
      <c r="I207" s="18">
        <v>110452.41</v>
      </c>
      <c r="J207" s="18">
        <v>12856</v>
      </c>
      <c r="K207" s="18"/>
      <c r="L207" s="19">
        <f t="shared" si="0"/>
        <v>567246.28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293312.52</v>
      </c>
      <c r="I208" s="18">
        <v>20062.71</v>
      </c>
      <c r="J208" s="18"/>
      <c r="K208" s="18"/>
      <c r="L208" s="19">
        <f t="shared" si="0"/>
        <v>313375.23000000004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71497</v>
      </c>
      <c r="I209" s="18"/>
      <c r="J209" s="18"/>
      <c r="K209" s="18"/>
      <c r="L209" s="19">
        <f>SUM(F209:K209)</f>
        <v>71497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5332404.5999999996</v>
      </c>
      <c r="G211" s="41">
        <f t="shared" si="1"/>
        <v>2636428.5999999996</v>
      </c>
      <c r="H211" s="41">
        <f t="shared" si="1"/>
        <v>3322627.77</v>
      </c>
      <c r="I211" s="41">
        <f t="shared" si="1"/>
        <v>235575.06000000003</v>
      </c>
      <c r="J211" s="41">
        <f t="shared" si="1"/>
        <v>82366.720000000001</v>
      </c>
      <c r="K211" s="41">
        <f t="shared" si="1"/>
        <v>5548.29</v>
      </c>
      <c r="L211" s="41">
        <f t="shared" si="1"/>
        <v>11614951.040000003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119614.35</v>
      </c>
      <c r="I216" s="18"/>
      <c r="J216" s="18"/>
      <c r="K216" s="18"/>
      <c r="L216" s="19">
        <f>SUM(F216:K216)</f>
        <v>119614.35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120686.67</v>
      </c>
      <c r="I226" s="18">
        <v>12195.8</v>
      </c>
      <c r="J226" s="18"/>
      <c r="K226" s="18"/>
      <c r="L226" s="19">
        <f t="shared" si="2"/>
        <v>132882.47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240301.02000000002</v>
      </c>
      <c r="I229" s="41">
        <f>SUM(I215:I228)</f>
        <v>12195.8</v>
      </c>
      <c r="J229" s="41">
        <f>SUM(J215:J228)</f>
        <v>0</v>
      </c>
      <c r="K229" s="41">
        <f t="shared" si="3"/>
        <v>0</v>
      </c>
      <c r="L229" s="41">
        <f t="shared" si="3"/>
        <v>252496.82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770185.23</v>
      </c>
      <c r="I234" s="18"/>
      <c r="J234" s="18"/>
      <c r="K234" s="18"/>
      <c r="L234" s="19">
        <f>SUM(F234:K234)</f>
        <v>770185.23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172586.05</v>
      </c>
      <c r="I244" s="18">
        <v>17440.400000000001</v>
      </c>
      <c r="J244" s="18"/>
      <c r="K244" s="18"/>
      <c r="L244" s="19">
        <f t="shared" si="4"/>
        <v>190026.44999999998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942771.28</v>
      </c>
      <c r="I247" s="41">
        <f t="shared" si="5"/>
        <v>17440.400000000001</v>
      </c>
      <c r="J247" s="41">
        <f t="shared" si="5"/>
        <v>0</v>
      </c>
      <c r="K247" s="41">
        <f t="shared" si="5"/>
        <v>0</v>
      </c>
      <c r="L247" s="41">
        <f t="shared" si="5"/>
        <v>960211.67999999993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5332404.5999999996</v>
      </c>
      <c r="G257" s="41">
        <f t="shared" si="8"/>
        <v>2636428.5999999996</v>
      </c>
      <c r="H257" s="41">
        <f t="shared" si="8"/>
        <v>4505700.07</v>
      </c>
      <c r="I257" s="41">
        <f t="shared" si="8"/>
        <v>265211.26</v>
      </c>
      <c r="J257" s="41">
        <f t="shared" si="8"/>
        <v>82366.720000000001</v>
      </c>
      <c r="K257" s="41">
        <f t="shared" si="8"/>
        <v>5548.29</v>
      </c>
      <c r="L257" s="41">
        <f t="shared" si="8"/>
        <v>12827659.540000003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180000</v>
      </c>
      <c r="L260" s="19">
        <f>SUM(F260:K260)</f>
        <v>180000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215898.76</v>
      </c>
      <c r="L261" s="19">
        <f>SUM(F261:K261)</f>
        <v>215898.76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50954.23</v>
      </c>
      <c r="L263" s="19">
        <f>SUM(F263:K263)</f>
        <v>50954.23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125000</v>
      </c>
      <c r="L266" s="19">
        <f t="shared" si="9"/>
        <v>125000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571852.99</v>
      </c>
      <c r="L270" s="41">
        <f t="shared" si="9"/>
        <v>571852.99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5332404.5999999996</v>
      </c>
      <c r="G271" s="42">
        <f t="shared" si="11"/>
        <v>2636428.5999999996</v>
      </c>
      <c r="H271" s="42">
        <f t="shared" si="11"/>
        <v>4505700.07</v>
      </c>
      <c r="I271" s="42">
        <f t="shared" si="11"/>
        <v>265211.26</v>
      </c>
      <c r="J271" s="42">
        <f t="shared" si="11"/>
        <v>82366.720000000001</v>
      </c>
      <c r="K271" s="42">
        <f t="shared" si="11"/>
        <v>577401.28</v>
      </c>
      <c r="L271" s="42">
        <f t="shared" si="11"/>
        <v>13399512.530000003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14316.15</v>
      </c>
      <c r="G276" s="18">
        <v>9993.06</v>
      </c>
      <c r="H276" s="18"/>
      <c r="I276" s="18">
        <v>72.38</v>
      </c>
      <c r="J276" s="18"/>
      <c r="K276" s="18"/>
      <c r="L276" s="19">
        <f>SUM(F276:K276)</f>
        <v>24381.59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98150</v>
      </c>
      <c r="G277" s="18"/>
      <c r="H277" s="18"/>
      <c r="I277" s="18"/>
      <c r="J277" s="18"/>
      <c r="K277" s="18"/>
      <c r="L277" s="19">
        <f>SUM(F277:K277)</f>
        <v>98150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112466.15</v>
      </c>
      <c r="G290" s="42">
        <f t="shared" si="13"/>
        <v>9993.06</v>
      </c>
      <c r="H290" s="42">
        <f t="shared" si="13"/>
        <v>0</v>
      </c>
      <c r="I290" s="42">
        <f t="shared" si="13"/>
        <v>72.38</v>
      </c>
      <c r="J290" s="42">
        <f t="shared" si="13"/>
        <v>0</v>
      </c>
      <c r="K290" s="42">
        <f t="shared" si="13"/>
        <v>0</v>
      </c>
      <c r="L290" s="41">
        <f t="shared" si="13"/>
        <v>122531.59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112466.15</v>
      </c>
      <c r="G338" s="41">
        <f t="shared" si="20"/>
        <v>9993.06</v>
      </c>
      <c r="H338" s="41">
        <f t="shared" si="20"/>
        <v>0</v>
      </c>
      <c r="I338" s="41">
        <f t="shared" si="20"/>
        <v>72.38</v>
      </c>
      <c r="J338" s="41">
        <f t="shared" si="20"/>
        <v>0</v>
      </c>
      <c r="K338" s="41">
        <f t="shared" si="20"/>
        <v>0</v>
      </c>
      <c r="L338" s="41">
        <f t="shared" si="20"/>
        <v>122531.59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112466.15</v>
      </c>
      <c r="G352" s="41">
        <f>G338</f>
        <v>9993.06</v>
      </c>
      <c r="H352" s="41">
        <f>H338</f>
        <v>0</v>
      </c>
      <c r="I352" s="41">
        <f>I338</f>
        <v>72.38</v>
      </c>
      <c r="J352" s="41">
        <f>J338</f>
        <v>0</v>
      </c>
      <c r="K352" s="47">
        <f>K338+K351</f>
        <v>0</v>
      </c>
      <c r="L352" s="41">
        <f>L338+L351</f>
        <v>122531.59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76192.62+534.54+1523.82</f>
        <v>78250.98</v>
      </c>
      <c r="G358" s="18">
        <f>750+14419.15+772.65+189.94+141.61+3645.37+5964.65</f>
        <v>25883.370000000003</v>
      </c>
      <c r="H358" s="18">
        <f>6823.65+1020.67</f>
        <v>7844.32</v>
      </c>
      <c r="I358" s="18">
        <f>93128.74+8799.9+40.48</f>
        <v>101969.12</v>
      </c>
      <c r="J358" s="18"/>
      <c r="K358" s="18"/>
      <c r="L358" s="13">
        <f>SUM(F358:K358)</f>
        <v>213947.79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78250.98</v>
      </c>
      <c r="G362" s="47">
        <f t="shared" si="22"/>
        <v>25883.370000000003</v>
      </c>
      <c r="H362" s="47">
        <f t="shared" si="22"/>
        <v>7844.32</v>
      </c>
      <c r="I362" s="47">
        <f t="shared" si="22"/>
        <v>101969.12</v>
      </c>
      <c r="J362" s="47">
        <f t="shared" si="22"/>
        <v>0</v>
      </c>
      <c r="K362" s="47">
        <f t="shared" si="22"/>
        <v>0</v>
      </c>
      <c r="L362" s="47">
        <f t="shared" si="22"/>
        <v>213947.79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93128.74+8799.9</f>
        <v>101928.64</v>
      </c>
      <c r="G367" s="18"/>
      <c r="H367" s="18"/>
      <c r="I367" s="56">
        <f>SUM(F367:H367)</f>
        <v>101928.64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40.479999999999997</v>
      </c>
      <c r="G368" s="63"/>
      <c r="H368" s="63"/>
      <c r="I368" s="56">
        <f>SUM(F368:H368)</f>
        <v>40.479999999999997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101969.12</v>
      </c>
      <c r="G369" s="47">
        <f>SUM(G367:G368)</f>
        <v>0</v>
      </c>
      <c r="H369" s="47">
        <f>SUM(H367:H368)</f>
        <v>0</v>
      </c>
      <c r="I369" s="47">
        <f>SUM(I367:I368)</f>
        <v>101969.12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927</v>
      </c>
      <c r="I396" s="18"/>
      <c r="J396" s="24" t="s">
        <v>288</v>
      </c>
      <c r="K396" s="24" t="s">
        <v>288</v>
      </c>
      <c r="L396" s="56">
        <f t="shared" si="26"/>
        <v>25927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100000</v>
      </c>
      <c r="H397" s="18">
        <v>724</v>
      </c>
      <c r="I397" s="18"/>
      <c r="J397" s="24" t="s">
        <v>288</v>
      </c>
      <c r="K397" s="24" t="s">
        <v>288</v>
      </c>
      <c r="L397" s="56">
        <f t="shared" si="26"/>
        <v>100724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128719</v>
      </c>
      <c r="I400" s="18"/>
      <c r="J400" s="24" t="s">
        <v>288</v>
      </c>
      <c r="K400" s="24" t="s">
        <v>288</v>
      </c>
      <c r="L400" s="56">
        <f t="shared" si="26"/>
        <v>128719</v>
      </c>
      <c r="M400" s="8"/>
      <c r="N400" s="271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130370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255370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130370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255370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313111</v>
      </c>
      <c r="G439" s="18">
        <v>1415680</v>
      </c>
      <c r="H439" s="18"/>
      <c r="I439" s="56">
        <f t="shared" ref="I439:I445" si="33">SUM(F439:H439)</f>
        <v>1728791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313111</v>
      </c>
      <c r="G446" s="13">
        <f>SUM(G439:G445)</f>
        <v>1415680</v>
      </c>
      <c r="H446" s="13">
        <f>SUM(H439:H445)</f>
        <v>0</v>
      </c>
      <c r="I446" s="13">
        <f>SUM(I439:I445)</f>
        <v>1728791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313111</v>
      </c>
      <c r="G459" s="18">
        <v>1415680</v>
      </c>
      <c r="H459" s="18"/>
      <c r="I459" s="56">
        <f t="shared" si="34"/>
        <v>1728791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313111</v>
      </c>
      <c r="G460" s="83">
        <f>SUM(G454:G459)</f>
        <v>1415680</v>
      </c>
      <c r="H460" s="83">
        <f>SUM(H454:H459)</f>
        <v>0</v>
      </c>
      <c r="I460" s="83">
        <f>SUM(I454:I459)</f>
        <v>1728791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313111</v>
      </c>
      <c r="G461" s="42">
        <f>G452+G460</f>
        <v>1415680</v>
      </c>
      <c r="H461" s="42">
        <f>H452+H460</f>
        <v>0</v>
      </c>
      <c r="I461" s="42">
        <f>I452+I460</f>
        <v>1728791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903</v>
      </c>
      <c r="B465" s="105">
        <v>19</v>
      </c>
      <c r="C465" s="111">
        <v>1</v>
      </c>
      <c r="D465" s="2" t="s">
        <v>432</v>
      </c>
      <c r="E465" s="111"/>
      <c r="F465" s="18">
        <v>20308.75</v>
      </c>
      <c r="G465" s="18">
        <v>-9318.6299999999992</v>
      </c>
      <c r="H465" s="18">
        <v>63753.23</v>
      </c>
      <c r="I465" s="18">
        <v>-45301.58</v>
      </c>
      <c r="J465" s="18">
        <v>1473419.87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13786511.140000001</v>
      </c>
      <c r="G468" s="18">
        <v>212856.03</v>
      </c>
      <c r="H468" s="18">
        <v>122531.59</v>
      </c>
      <c r="I468" s="18"/>
      <c r="J468" s="18">
        <v>255370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10410.39</v>
      </c>
      <c r="H469" s="18"/>
      <c r="I469" s="18">
        <v>45301.58</v>
      </c>
      <c r="J469" s="18">
        <v>1.1299999999999999</v>
      </c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13786511.140000001</v>
      </c>
      <c r="G470" s="53">
        <f>SUM(G468:G469)</f>
        <v>223266.41999999998</v>
      </c>
      <c r="H470" s="53">
        <f>SUM(H468:H469)</f>
        <v>122531.59</v>
      </c>
      <c r="I470" s="53">
        <f>SUM(I468:I469)</f>
        <v>45301.58</v>
      </c>
      <c r="J470" s="53">
        <f>SUM(J468:J469)</f>
        <v>255371.13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13399512.529999999</v>
      </c>
      <c r="G472" s="18">
        <v>213947.79</v>
      </c>
      <c r="H472" s="18">
        <v>122531.59</v>
      </c>
      <c r="I472" s="18"/>
      <c r="J472" s="18"/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4043.03</v>
      </c>
      <c r="G473" s="18"/>
      <c r="H473" s="18">
        <v>18582.66</v>
      </c>
      <c r="I473" s="18"/>
      <c r="J473" s="18"/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13403555.559999999</v>
      </c>
      <c r="G474" s="53">
        <f>SUM(G472:G473)</f>
        <v>213947.79</v>
      </c>
      <c r="H474" s="53">
        <f>SUM(H472:H473)</f>
        <v>141114.25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89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403264.33000000194</v>
      </c>
      <c r="G476" s="53">
        <f>(G465+G470)- G474</f>
        <v>0</v>
      </c>
      <c r="H476" s="53">
        <f>(H465+H470)- H474</f>
        <v>45170.570000000007</v>
      </c>
      <c r="I476" s="53">
        <f>(I465+I470)- I474</f>
        <v>0</v>
      </c>
      <c r="J476" s="53">
        <f>(J465+J470)- J474</f>
        <v>1728791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 t="s">
        <v>918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274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916</v>
      </c>
      <c r="G491" s="155"/>
      <c r="H491" s="154"/>
      <c r="I491" s="154"/>
      <c r="J491" s="154"/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917</v>
      </c>
      <c r="G492" s="155"/>
      <c r="H492" s="154"/>
      <c r="I492" s="154"/>
      <c r="J492" s="154"/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5798000</v>
      </c>
      <c r="G493" s="18"/>
      <c r="H493" s="18"/>
      <c r="I493" s="18"/>
      <c r="J493" s="18"/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3.04</v>
      </c>
      <c r="G494" s="18"/>
      <c r="H494" s="18"/>
      <c r="I494" s="18"/>
      <c r="J494" s="18"/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5662000</v>
      </c>
      <c r="G495" s="18"/>
      <c r="H495" s="18"/>
      <c r="I495" s="18"/>
      <c r="J495" s="18"/>
      <c r="K495" s="53">
        <f>SUM(F495:J495)</f>
        <v>5662000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180000</v>
      </c>
      <c r="G497" s="18"/>
      <c r="H497" s="18"/>
      <c r="I497" s="18"/>
      <c r="J497" s="18"/>
      <c r="K497" s="53">
        <f t="shared" si="35"/>
        <v>180000</v>
      </c>
      <c r="L497" s="24" t="s">
        <v>288</v>
      </c>
      <c r="N497" s="270"/>
    </row>
    <row r="498" spans="1:14" s="52" customFormat="1" ht="1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f>F495-F497</f>
        <v>5482000</v>
      </c>
      <c r="G498" s="203"/>
      <c r="H498" s="203"/>
      <c r="I498" s="203"/>
      <c r="J498" s="203"/>
      <c r="K498" s="204">
        <f t="shared" si="35"/>
        <v>5482000</v>
      </c>
      <c r="L498" s="205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2199436.42-215899</f>
        <v>1983537.42</v>
      </c>
      <c r="G499" s="18"/>
      <c r="H499" s="18"/>
      <c r="I499" s="18"/>
      <c r="J499" s="18"/>
      <c r="K499" s="53">
        <f t="shared" si="35"/>
        <v>1983537.42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7465537.4199999999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7465537.4199999999</v>
      </c>
      <c r="L500" s="45" t="s">
        <v>288</v>
      </c>
      <c r="N500" s="270"/>
    </row>
    <row r="501" spans="1:14" s="52" customFormat="1" ht="1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v>190000</v>
      </c>
      <c r="G501" s="203"/>
      <c r="H501" s="203"/>
      <c r="I501" s="203"/>
      <c r="J501" s="203"/>
      <c r="K501" s="204">
        <f t="shared" si="35"/>
        <v>190000</v>
      </c>
      <c r="L501" s="205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206719</v>
      </c>
      <c r="G502" s="18"/>
      <c r="H502" s="18"/>
      <c r="I502" s="18"/>
      <c r="J502" s="18"/>
      <c r="K502" s="53">
        <f t="shared" si="35"/>
        <v>206719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396719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396719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6"/>
      <c r="N518" s="270"/>
    </row>
    <row r="519" spans="1:14" s="52" customFormat="1" ht="12" customHeight="1" x14ac:dyDescent="0.2">
      <c r="A519" s="177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1598308.58</v>
      </c>
      <c r="G521" s="18">
        <v>729077.01</v>
      </c>
      <c r="H521" s="18">
        <v>242393.49</v>
      </c>
      <c r="I521" s="18">
        <v>9998.2900000000009</v>
      </c>
      <c r="J521" s="18">
        <v>5310.73</v>
      </c>
      <c r="K521" s="18">
        <v>605.4</v>
      </c>
      <c r="L521" s="88">
        <f>SUM(F521:K521)</f>
        <v>2585693.5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119614.35</v>
      </c>
      <c r="I522" s="18"/>
      <c r="J522" s="18"/>
      <c r="K522" s="18"/>
      <c r="L522" s="88">
        <f>SUM(F522:K522)</f>
        <v>119614.35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770185.23</v>
      </c>
      <c r="I523" s="18"/>
      <c r="J523" s="18"/>
      <c r="K523" s="18"/>
      <c r="L523" s="88">
        <f>SUM(F523:K523)</f>
        <v>770185.23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432</v>
      </c>
      <c r="E524" s="194"/>
      <c r="F524" s="108">
        <f>SUM(F521:F523)</f>
        <v>1598308.58</v>
      </c>
      <c r="G524" s="108">
        <f t="shared" ref="G524:L524" si="36">SUM(G521:G523)</f>
        <v>729077.01</v>
      </c>
      <c r="H524" s="108">
        <f t="shared" si="36"/>
        <v>1132193.0699999998</v>
      </c>
      <c r="I524" s="108">
        <f t="shared" si="36"/>
        <v>9998.2900000000009</v>
      </c>
      <c r="J524" s="108">
        <f t="shared" si="36"/>
        <v>5310.73</v>
      </c>
      <c r="K524" s="108">
        <f t="shared" si="36"/>
        <v>605.4</v>
      </c>
      <c r="L524" s="89">
        <f t="shared" si="36"/>
        <v>3475493.08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130471.86</v>
      </c>
      <c r="I526" s="18"/>
      <c r="J526" s="18"/>
      <c r="K526" s="18"/>
      <c r="L526" s="88">
        <f>SUM(F526:K526)</f>
        <v>130471.86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130471.86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130471.86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34653</v>
      </c>
      <c r="G531" s="18">
        <v>12923</v>
      </c>
      <c r="H531" s="18">
        <v>1145</v>
      </c>
      <c r="I531" s="18"/>
      <c r="J531" s="18"/>
      <c r="K531" s="18"/>
      <c r="L531" s="88">
        <f>SUM(F531:K531)</f>
        <v>48721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34653</v>
      </c>
      <c r="G534" s="89">
        <f t="shared" ref="G534:L534" si="38">SUM(G531:G533)</f>
        <v>12923</v>
      </c>
      <c r="H534" s="89">
        <f t="shared" si="38"/>
        <v>1145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48721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3633.66</v>
      </c>
      <c r="I536" s="18"/>
      <c r="J536" s="18"/>
      <c r="K536" s="18"/>
      <c r="L536" s="88">
        <f>SUM(F536:K536)</f>
        <v>3633.66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3633.66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3633.66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90272.12</v>
      </c>
      <c r="I541" s="18"/>
      <c r="J541" s="18"/>
      <c r="K541" s="18"/>
      <c r="L541" s="88">
        <f>SUM(F541:K541)</f>
        <v>90272.12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90272.12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90272.12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1632961.58</v>
      </c>
      <c r="G545" s="89">
        <f t="shared" ref="G545:L545" si="41">G524+G529+G534+G539+G544</f>
        <v>742000.01</v>
      </c>
      <c r="H545" s="89">
        <f t="shared" si="41"/>
        <v>1357715.71</v>
      </c>
      <c r="I545" s="89">
        <f t="shared" si="41"/>
        <v>9998.2900000000009</v>
      </c>
      <c r="J545" s="89">
        <f t="shared" si="41"/>
        <v>5310.73</v>
      </c>
      <c r="K545" s="89">
        <f t="shared" si="41"/>
        <v>605.4</v>
      </c>
      <c r="L545" s="89">
        <f t="shared" si="41"/>
        <v>3748591.72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2585693.5</v>
      </c>
      <c r="G549" s="87">
        <f>L526</f>
        <v>130471.86</v>
      </c>
      <c r="H549" s="87">
        <f>L531</f>
        <v>48721</v>
      </c>
      <c r="I549" s="87">
        <f>L536</f>
        <v>3633.66</v>
      </c>
      <c r="J549" s="87">
        <f>L541</f>
        <v>90272.12</v>
      </c>
      <c r="K549" s="87">
        <f>SUM(F549:J549)</f>
        <v>2858792.14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119614.35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119614.35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770185.23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770185.23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3475493.08</v>
      </c>
      <c r="G552" s="89">
        <f t="shared" si="42"/>
        <v>130471.86</v>
      </c>
      <c r="H552" s="89">
        <f t="shared" si="42"/>
        <v>48721</v>
      </c>
      <c r="I552" s="89">
        <f t="shared" si="42"/>
        <v>3633.66</v>
      </c>
      <c r="J552" s="89">
        <f t="shared" si="42"/>
        <v>90272.12</v>
      </c>
      <c r="K552" s="89">
        <f t="shared" si="42"/>
        <v>3748591.72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432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2037529</v>
      </c>
      <c r="G575" s="18"/>
      <c r="H575" s="18"/>
      <c r="I575" s="87">
        <f>SUM(F575:H575)</f>
        <v>2037529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113032.04</v>
      </c>
      <c r="G579" s="18"/>
      <c r="H579" s="18"/>
      <c r="I579" s="87">
        <f t="shared" si="47"/>
        <v>113032.04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>
        <v>56711.54</v>
      </c>
      <c r="I580" s="87">
        <f t="shared" si="47"/>
        <v>56711.54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12353.55</v>
      </c>
      <c r="G582" s="18">
        <v>119614.35</v>
      </c>
      <c r="H582" s="18">
        <v>713473.69</v>
      </c>
      <c r="I582" s="87">
        <f t="shared" si="47"/>
        <v>845441.59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218598.45</v>
      </c>
      <c r="I591" s="18">
        <v>132882.47</v>
      </c>
      <c r="J591" s="18">
        <v>190026.45</v>
      </c>
      <c r="K591" s="104">
        <f t="shared" ref="K591:K597" si="48">SUM(H591:J591)</f>
        <v>541507.37000000011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90272.12</v>
      </c>
      <c r="I592" s="18"/>
      <c r="J592" s="18"/>
      <c r="K592" s="104">
        <f t="shared" si="48"/>
        <v>90272.12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1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4504.66</v>
      </c>
      <c r="I595" s="18"/>
      <c r="J595" s="18"/>
      <c r="K595" s="104">
        <f t="shared" si="48"/>
        <v>4504.66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313375.23</v>
      </c>
      <c r="I598" s="108">
        <f>SUM(I591:I597)</f>
        <v>132882.47</v>
      </c>
      <c r="J598" s="108">
        <f>SUM(J591:J597)</f>
        <v>190026.45</v>
      </c>
      <c r="K598" s="108">
        <f>SUM(K591:K597)</f>
        <v>636284.15000000014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82366.720000000001</v>
      </c>
      <c r="I604" s="18"/>
      <c r="J604" s="18"/>
      <c r="K604" s="104">
        <f>SUM(H604:J604)</f>
        <v>82366.720000000001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82366.720000000001</v>
      </c>
      <c r="I605" s="108">
        <f>SUM(I602:I604)</f>
        <v>0</v>
      </c>
      <c r="J605" s="108">
        <f>SUM(J602:J604)</f>
        <v>0</v>
      </c>
      <c r="K605" s="108">
        <f>SUM(K602:K604)</f>
        <v>82366.720000000001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632394.72</v>
      </c>
      <c r="H617" s="109">
        <f>SUM(F52)</f>
        <v>632394.72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23767.16</v>
      </c>
      <c r="H619" s="109">
        <f>SUM(H52)</f>
        <v>23767.16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1728791</v>
      </c>
      <c r="H621" s="109">
        <f>SUM(J52)</f>
        <v>1728791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403264.33</v>
      </c>
      <c r="H622" s="109">
        <f>F476</f>
        <v>403264.33000000194</v>
      </c>
      <c r="I622" s="121" t="s">
        <v>101</v>
      </c>
      <c r="J622" s="109">
        <f t="shared" ref="J622:J655" si="50">G622-H622</f>
        <v>-1.9208528101444244E-9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45170.57</v>
      </c>
      <c r="H624" s="109">
        <f>H476</f>
        <v>45170.570000000007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1728791</v>
      </c>
      <c r="H626" s="109">
        <f>J476</f>
        <v>1728791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13786511.140000001</v>
      </c>
      <c r="H627" s="104">
        <f>SUM(F468)</f>
        <v>13786511.140000001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212856.03</v>
      </c>
      <c r="H628" s="104">
        <f>SUM(G468)</f>
        <v>212856.03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122531.59</v>
      </c>
      <c r="H629" s="104">
        <f>SUM(H468)</f>
        <v>122531.59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255370</v>
      </c>
      <c r="H631" s="104">
        <f>SUM(J468)</f>
        <v>255370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13399512.530000003</v>
      </c>
      <c r="H632" s="104">
        <f>SUM(F472)</f>
        <v>13399512.529999999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122531.59</v>
      </c>
      <c r="H633" s="104">
        <f>SUM(H472)</f>
        <v>122531.59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101969.12</v>
      </c>
      <c r="H634" s="104">
        <f>I369</f>
        <v>101969.12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213947.79</v>
      </c>
      <c r="H635" s="104">
        <f>SUM(G472)</f>
        <v>213947.79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255370</v>
      </c>
      <c r="H637" s="164">
        <f>SUM(J468)</f>
        <v>255370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313111</v>
      </c>
      <c r="H639" s="104">
        <f>SUM(F461)</f>
        <v>313111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1415680</v>
      </c>
      <c r="H640" s="104">
        <f>SUM(G461)</f>
        <v>1415680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1728791</v>
      </c>
      <c r="H642" s="104">
        <f>SUM(I461)</f>
        <v>1728791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130370</v>
      </c>
      <c r="H644" s="104">
        <f>H408</f>
        <v>130370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125000</v>
      </c>
      <c r="H645" s="104">
        <f>G408</f>
        <v>125000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255370</v>
      </c>
      <c r="H646" s="104">
        <f>L408</f>
        <v>255370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636284.15000000014</v>
      </c>
      <c r="H647" s="104">
        <f>L208+L226+L244</f>
        <v>636284.15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82366.720000000001</v>
      </c>
      <c r="H648" s="104">
        <f>(J257+J338)-(J255+J336)</f>
        <v>82366.720000000001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313375.23000000004</v>
      </c>
      <c r="H649" s="104">
        <f>H598</f>
        <v>313375.23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132882.47</v>
      </c>
      <c r="H650" s="104">
        <f>I598</f>
        <v>132882.47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190026.44999999998</v>
      </c>
      <c r="H651" s="104">
        <f>J598</f>
        <v>190026.45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50954.23</v>
      </c>
      <c r="H652" s="104">
        <f>K263+K345</f>
        <v>50954.23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125000</v>
      </c>
      <c r="H655" s="104">
        <f>K266+K347</f>
        <v>125000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11951430.420000002</v>
      </c>
      <c r="G660" s="19">
        <f>(L229+L309+L359)</f>
        <v>252496.82</v>
      </c>
      <c r="H660" s="19">
        <f>(L247+L328+L360)</f>
        <v>960211.67999999993</v>
      </c>
      <c r="I660" s="19">
        <f>SUM(F660:H660)</f>
        <v>13164138.920000002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161901.79999999999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161901.79999999999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313375.23000000004</v>
      </c>
      <c r="G662" s="19">
        <f>(L226+L306)-(J226+J306)</f>
        <v>132882.47</v>
      </c>
      <c r="H662" s="19">
        <f>(L244+L325)-(J244+J325)</f>
        <v>190026.44999999998</v>
      </c>
      <c r="I662" s="19">
        <f>SUM(F662:H662)</f>
        <v>636284.15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2245281.31</v>
      </c>
      <c r="G663" s="198">
        <f>SUM(G575:G587)+SUM(I602:I604)+L612</f>
        <v>119614.35</v>
      </c>
      <c r="H663" s="198">
        <f>SUM(H575:H587)+SUM(J602:J604)+L613</f>
        <v>770185.23</v>
      </c>
      <c r="I663" s="19">
        <f>SUM(F663:H663)</f>
        <v>3135080.89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9230872.0800000019</v>
      </c>
      <c r="G664" s="19">
        <f>G660-SUM(G661:G663)</f>
        <v>0</v>
      </c>
      <c r="H664" s="19">
        <f>H660-SUM(H661:H663)</f>
        <v>0</v>
      </c>
      <c r="I664" s="19">
        <f>I660-SUM(I661:I663)</f>
        <v>9230872.0800000019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463.06</v>
      </c>
      <c r="G665" s="247"/>
      <c r="H665" s="247"/>
      <c r="I665" s="19">
        <f>SUM(F665:H665)</f>
        <v>463.06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19934.509999999998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19934.509999999998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19934.509999999998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19934.509999999998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 link="1"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Hanover School District</v>
      </c>
      <c r="C1" s="237" t="s">
        <v>838</v>
      </c>
    </row>
    <row r="2" spans="1:3" x14ac:dyDescent="0.2">
      <c r="A2" s="232"/>
      <c r="B2" s="231"/>
    </row>
    <row r="3" spans="1:3" x14ac:dyDescent="0.2">
      <c r="A3" s="278" t="s">
        <v>783</v>
      </c>
      <c r="B3" s="278"/>
      <c r="C3" s="278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77" t="s">
        <v>782</v>
      </c>
      <c r="C6" s="277"/>
    </row>
    <row r="7" spans="1:3" x14ac:dyDescent="0.2">
      <c r="A7" s="238" t="s">
        <v>785</v>
      </c>
      <c r="B7" s="275" t="s">
        <v>781</v>
      </c>
      <c r="C7" s="276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3059556.56</v>
      </c>
      <c r="C9" s="228">
        <f>'DOE25'!G197+'DOE25'!G215+'DOE25'!G233+'DOE25'!G276+'DOE25'!G295+'DOE25'!G314</f>
        <v>1286364.77</v>
      </c>
    </row>
    <row r="10" spans="1:3" x14ac:dyDescent="0.2">
      <c r="A10" t="s">
        <v>778</v>
      </c>
      <c r="B10" s="239">
        <v>2670091.46</v>
      </c>
      <c r="C10" s="239">
        <f>933661.91+216516.99</f>
        <v>1150178.8999999999</v>
      </c>
    </row>
    <row r="11" spans="1:3" x14ac:dyDescent="0.2">
      <c r="A11" t="s">
        <v>779</v>
      </c>
      <c r="B11" s="239">
        <v>272026.59000000003</v>
      </c>
      <c r="C11" s="239">
        <v>95120.66</v>
      </c>
    </row>
    <row r="12" spans="1:3" x14ac:dyDescent="0.2">
      <c r="A12" t="s">
        <v>780</v>
      </c>
      <c r="B12" s="239">
        <v>117438.51</v>
      </c>
      <c r="C12" s="239">
        <v>41065.21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3059556.5599999996</v>
      </c>
      <c r="C13" s="230">
        <f>SUM(C10:C12)</f>
        <v>1286364.7699999998</v>
      </c>
    </row>
    <row r="14" spans="1:3" x14ac:dyDescent="0.2">
      <c r="B14" s="229"/>
      <c r="C14" s="229"/>
    </row>
    <row r="15" spans="1:3" x14ac:dyDescent="0.2">
      <c r="B15" s="277" t="s">
        <v>782</v>
      </c>
      <c r="C15" s="277"/>
    </row>
    <row r="16" spans="1:3" x14ac:dyDescent="0.2">
      <c r="A16" s="238" t="s">
        <v>786</v>
      </c>
      <c r="B16" s="275" t="s">
        <v>706</v>
      </c>
      <c r="C16" s="276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1598308.58</v>
      </c>
      <c r="C18" s="228">
        <f>'DOE25'!G198+'DOE25'!G216+'DOE25'!G234+'DOE25'!G277+'DOE25'!G296+'DOE25'!G315</f>
        <v>729077.01</v>
      </c>
    </row>
    <row r="19" spans="1:3" x14ac:dyDescent="0.2">
      <c r="A19" t="s">
        <v>778</v>
      </c>
      <c r="B19" s="239">
        <v>946113.16</v>
      </c>
      <c r="C19" s="239">
        <f>318647.12+140000</f>
        <v>458647.12</v>
      </c>
    </row>
    <row r="20" spans="1:3" x14ac:dyDescent="0.2">
      <c r="A20" t="s">
        <v>779</v>
      </c>
      <c r="B20" s="239">
        <f>448664.48</f>
        <v>448664.48</v>
      </c>
      <c r="C20" s="239">
        <f>151108.4+54773.08</f>
        <v>205881.47999999998</v>
      </c>
    </row>
    <row r="21" spans="1:3" x14ac:dyDescent="0.2">
      <c r="A21" t="s">
        <v>780</v>
      </c>
      <c r="B21" s="239">
        <v>203530.94</v>
      </c>
      <c r="C21" s="239">
        <v>64548.41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1598308.58</v>
      </c>
      <c r="C22" s="230">
        <f>SUM(C19:C21)</f>
        <v>729077.01</v>
      </c>
    </row>
    <row r="23" spans="1:3" x14ac:dyDescent="0.2">
      <c r="B23" s="229"/>
      <c r="C23" s="229"/>
    </row>
    <row r="24" spans="1:3" x14ac:dyDescent="0.2">
      <c r="B24" s="277" t="s">
        <v>782</v>
      </c>
      <c r="C24" s="277"/>
    </row>
    <row r="25" spans="1:3" x14ac:dyDescent="0.2">
      <c r="A25" s="238" t="s">
        <v>787</v>
      </c>
      <c r="B25" s="275" t="s">
        <v>707</v>
      </c>
      <c r="C25" s="276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778</v>
      </c>
      <c r="B28" s="239"/>
      <c r="C28" s="239"/>
    </row>
    <row r="29" spans="1:3" x14ac:dyDescent="0.2">
      <c r="A29" t="s">
        <v>779</v>
      </c>
      <c r="B29" s="239"/>
      <c r="C29" s="239"/>
    </row>
    <row r="30" spans="1:3" x14ac:dyDescent="0.2">
      <c r="A30" t="s">
        <v>780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8" t="s">
        <v>788</v>
      </c>
      <c r="B34" s="275" t="s">
        <v>708</v>
      </c>
      <c r="C34" s="276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0</v>
      </c>
      <c r="C36" s="234">
        <f>'DOE25'!G200+'DOE25'!G218+'DOE25'!G236+'DOE25'!G279+'DOE25'!G298+'DOE25'!G317</f>
        <v>0</v>
      </c>
    </row>
    <row r="37" spans="1:3" x14ac:dyDescent="0.2">
      <c r="A37" t="s">
        <v>778</v>
      </c>
      <c r="B37" s="239"/>
      <c r="C37" s="239"/>
    </row>
    <row r="38" spans="1:3" x14ac:dyDescent="0.2">
      <c r="A38" t="s">
        <v>779</v>
      </c>
      <c r="B38" s="239"/>
      <c r="C38" s="239"/>
    </row>
    <row r="39" spans="1:3" x14ac:dyDescent="0.2">
      <c r="A39" t="s">
        <v>780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0"/>
    </row>
    <row r="2" spans="1:9" x14ac:dyDescent="0.2">
      <c r="A2" s="33" t="s">
        <v>716</v>
      </c>
      <c r="B2" s="264" t="str">
        <f>'DOE25'!A2</f>
        <v>Hanover School District</v>
      </c>
      <c r="C2" s="180"/>
      <c r="D2" s="180" t="s">
        <v>791</v>
      </c>
      <c r="E2" s="180" t="s">
        <v>793</v>
      </c>
      <c r="F2" s="279" t="s">
        <v>820</v>
      </c>
      <c r="G2" s="280"/>
      <c r="H2" s="281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9944823.5700000022</v>
      </c>
      <c r="D5" s="20">
        <f>SUM('DOE25'!L197:L200)+SUM('DOE25'!L215:L218)+SUM('DOE25'!L233:L236)-F5-G5</f>
        <v>9881687.7100000009</v>
      </c>
      <c r="E5" s="242"/>
      <c r="F5" s="254">
        <f>SUM('DOE25'!J197:J200)+SUM('DOE25'!J215:J218)+SUM('DOE25'!J233:J236)</f>
        <v>62530.460000000006</v>
      </c>
      <c r="G5" s="53">
        <f>SUM('DOE25'!K197:K200)+SUM('DOE25'!K215:K218)+SUM('DOE25'!K233:K236)</f>
        <v>605.4</v>
      </c>
      <c r="H5" s="258"/>
    </row>
    <row r="6" spans="1:9" x14ac:dyDescent="0.2">
      <c r="A6" s="32">
        <v>2100</v>
      </c>
      <c r="B6" t="s">
        <v>800</v>
      </c>
      <c r="C6" s="244">
        <f t="shared" si="0"/>
        <v>307415.67</v>
      </c>
      <c r="D6" s="20">
        <f>'DOE25'!L202+'DOE25'!L220+'DOE25'!L238-F6-G6</f>
        <v>307415.67</v>
      </c>
      <c r="E6" s="242"/>
      <c r="F6" s="254">
        <f>'DOE25'!J202+'DOE25'!J220+'DOE25'!J238</f>
        <v>0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833</v>
      </c>
      <c r="C7" s="244">
        <f t="shared" si="0"/>
        <v>232240.74</v>
      </c>
      <c r="D7" s="20">
        <f>'DOE25'!L203+'DOE25'!L221+'DOE25'!L239-F7-G7</f>
        <v>228147.84</v>
      </c>
      <c r="E7" s="242"/>
      <c r="F7" s="254">
        <f>'DOE25'!J203+'DOE25'!J221+'DOE25'!J239</f>
        <v>4092.9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801</v>
      </c>
      <c r="C8" s="244">
        <f t="shared" si="0"/>
        <v>332669</v>
      </c>
      <c r="D8" s="242"/>
      <c r="E8" s="20">
        <f>'DOE25'!L204+'DOE25'!L222+'DOE25'!L240-F8-G8-D9-D11</f>
        <v>328031.11</v>
      </c>
      <c r="F8" s="254">
        <f>'DOE25'!J204+'DOE25'!J222+'DOE25'!J240</f>
        <v>0</v>
      </c>
      <c r="G8" s="53">
        <f>'DOE25'!K204+'DOE25'!K222+'DOE25'!K240</f>
        <v>4637.8900000000003</v>
      </c>
      <c r="H8" s="258"/>
    </row>
    <row r="9" spans="1:9" x14ac:dyDescent="0.2">
      <c r="A9" s="32">
        <v>2310</v>
      </c>
      <c r="B9" t="s">
        <v>817</v>
      </c>
      <c r="C9" s="244">
        <f t="shared" si="0"/>
        <v>30735.309999999998</v>
      </c>
      <c r="D9" s="243">
        <f>41575.31-10840</f>
        <v>30735.309999999998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10840</v>
      </c>
      <c r="D10" s="242"/>
      <c r="E10" s="243">
        <v>10840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61309</v>
      </c>
      <c r="D11" s="243">
        <v>61309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643438.82000000007</v>
      </c>
      <c r="D12" s="20">
        <f>'DOE25'!L205+'DOE25'!L223+'DOE25'!L241-F12-G12</f>
        <v>640246.46000000008</v>
      </c>
      <c r="E12" s="242"/>
      <c r="F12" s="254">
        <f>'DOE25'!J205+'DOE25'!J223+'DOE25'!J241</f>
        <v>2887.36</v>
      </c>
      <c r="G12" s="53">
        <f>'DOE25'!K205+'DOE25'!K223+'DOE25'!K241</f>
        <v>305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567246.28</v>
      </c>
      <c r="D14" s="20">
        <f>'DOE25'!L207+'DOE25'!L225+'DOE25'!L243-F14-G14</f>
        <v>554390.28</v>
      </c>
      <c r="E14" s="242"/>
      <c r="F14" s="254">
        <f>'DOE25'!J207+'DOE25'!J225+'DOE25'!J243</f>
        <v>12856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636284.15</v>
      </c>
      <c r="D15" s="20">
        <f>'DOE25'!L208+'DOE25'!L226+'DOE25'!L244-F15-G15</f>
        <v>636284.15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71497</v>
      </c>
      <c r="D16" s="242"/>
      <c r="E16" s="20">
        <f>'DOE25'!L209+'DOE25'!L227+'DOE25'!L245-F16-G16</f>
        <v>71497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395898.76</v>
      </c>
      <c r="D25" s="242"/>
      <c r="E25" s="242"/>
      <c r="F25" s="257"/>
      <c r="G25" s="255"/>
      <c r="H25" s="256">
        <f>'DOE25'!L260+'DOE25'!L261+'DOE25'!L341+'DOE25'!L342</f>
        <v>395898.76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112019.15000000001</v>
      </c>
      <c r="D29" s="20">
        <f>'DOE25'!L358+'DOE25'!L359+'DOE25'!L360-'DOE25'!I367-F29-G29</f>
        <v>112019.15000000001</v>
      </c>
      <c r="E29" s="242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122531.59</v>
      </c>
      <c r="D31" s="20">
        <f>'DOE25'!L290+'DOE25'!L309+'DOE25'!L328+'DOE25'!L333+'DOE25'!L334+'DOE25'!L335-F31-G31</f>
        <v>122531.59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12574767.160000002</v>
      </c>
      <c r="E33" s="245">
        <f>SUM(E5:E31)</f>
        <v>410368.11</v>
      </c>
      <c r="F33" s="245">
        <f>SUM(F5:F31)</f>
        <v>82366.720000000001</v>
      </c>
      <c r="G33" s="245">
        <f>SUM(G5:G31)</f>
        <v>5548.29</v>
      </c>
      <c r="H33" s="245">
        <f>SUM(H5:H31)</f>
        <v>395898.76</v>
      </c>
    </row>
    <row r="35" spans="2:8" ht="12" thickBot="1" x14ac:dyDescent="0.25">
      <c r="B35" s="252" t="s">
        <v>846</v>
      </c>
      <c r="D35" s="253">
        <f>E33</f>
        <v>410368.11</v>
      </c>
      <c r="E35" s="248"/>
    </row>
    <row r="36" spans="2:8" ht="12" thickTop="1" x14ac:dyDescent="0.2">
      <c r="B36" t="s">
        <v>814</v>
      </c>
      <c r="D36" s="20">
        <f>D33</f>
        <v>12574767.160000002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77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Hanover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618817.28000000003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1728791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12174.44</v>
      </c>
      <c r="D12" s="95">
        <f>'DOE25'!G13</f>
        <v>0</v>
      </c>
      <c r="E12" s="95">
        <f>'DOE25'!H13</f>
        <v>23767.16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988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632394.72</v>
      </c>
      <c r="D18" s="41">
        <f>SUM(D8:D17)</f>
        <v>0</v>
      </c>
      <c r="E18" s="41">
        <f>SUM(E8:E17)</f>
        <v>23767.16</v>
      </c>
      <c r="F18" s="41">
        <f>SUM(F8:F17)</f>
        <v>0</v>
      </c>
      <c r="G18" s="41">
        <f>SUM(G8:G17)</f>
        <v>1728791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39093.660000000003</v>
      </c>
      <c r="D21" s="95">
        <f>'DOE25'!G22</f>
        <v>-12083.26</v>
      </c>
      <c r="E21" s="95">
        <f>'DOE25'!H22</f>
        <v>-21403.41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79960.740000000005</v>
      </c>
      <c r="D23" s="95">
        <f>'DOE25'!G24</f>
        <v>1150.1300000000001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23973.8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1852.19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84250</v>
      </c>
      <c r="D30" s="95">
        <f>'DOE25'!G31</f>
        <v>10933.13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229130.39</v>
      </c>
      <c r="D31" s="41">
        <f>SUM(D21:D30)</f>
        <v>0</v>
      </c>
      <c r="E31" s="41">
        <f>SUM(E21:E30)</f>
        <v>-21403.41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988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45170.57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36521.56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1728791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265754.77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403264.33</v>
      </c>
      <c r="D50" s="41">
        <f>SUM(D34:D49)</f>
        <v>0</v>
      </c>
      <c r="E50" s="41">
        <f>SUM(E34:E49)</f>
        <v>45170.57</v>
      </c>
      <c r="F50" s="41">
        <f>SUM(F34:F49)</f>
        <v>0</v>
      </c>
      <c r="G50" s="41">
        <f>SUM(G34:G49)</f>
        <v>1728791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632394.72</v>
      </c>
      <c r="D51" s="41">
        <f>D50+D31</f>
        <v>0</v>
      </c>
      <c r="E51" s="41">
        <f>E50+E31</f>
        <v>23767.16</v>
      </c>
      <c r="F51" s="41">
        <f>F50+F31</f>
        <v>0</v>
      </c>
      <c r="G51" s="41">
        <f>G50+G31</f>
        <v>1728791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10237733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176532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17273.93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130370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161659.04999999999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45494.38</v>
      </c>
      <c r="D61" s="95">
        <f>SUM('DOE25'!G98:G110)</f>
        <v>242.75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239300.31</v>
      </c>
      <c r="D62" s="130">
        <f>SUM(D57:D61)</f>
        <v>161901.79999999999</v>
      </c>
      <c r="E62" s="130">
        <f>SUM(E57:E61)</f>
        <v>0</v>
      </c>
      <c r="F62" s="130">
        <f>SUM(F57:F61)</f>
        <v>0</v>
      </c>
      <c r="G62" s="130">
        <f>SUM(G57:G61)</f>
        <v>130370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10477033.310000001</v>
      </c>
      <c r="D63" s="22">
        <f>D56+D62</f>
        <v>161901.79999999999</v>
      </c>
      <c r="E63" s="22">
        <f>E56+E62</f>
        <v>0</v>
      </c>
      <c r="F63" s="22">
        <f>F56+F62</f>
        <v>0</v>
      </c>
      <c r="G63" s="22">
        <f>G56+G62</f>
        <v>130370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2482574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2482574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85116.45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549532.73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634649.17999999993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3117223.1799999997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188912.29</v>
      </c>
      <c r="D88" s="95">
        <f>SUM('DOE25'!G153:G161)</f>
        <v>0</v>
      </c>
      <c r="E88" s="95">
        <f>SUM('DOE25'!H153:H161)</f>
        <v>122531.59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3342.36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192254.65</v>
      </c>
      <c r="D91" s="131">
        <f>SUM(D85:D90)</f>
        <v>0</v>
      </c>
      <c r="E91" s="131">
        <f>SUM(E85:E90)</f>
        <v>122531.59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50954.23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50954.23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764</v>
      </c>
      <c r="C104" s="86">
        <f>C63+C81+C91+C103</f>
        <v>13786511.140000001</v>
      </c>
      <c r="D104" s="86">
        <f>D63+D81+D91+D103</f>
        <v>212856.03</v>
      </c>
      <c r="E104" s="86">
        <f>E63+E81+E91+E103</f>
        <v>122531.59</v>
      </c>
      <c r="F104" s="86">
        <f>F63+F81+F91+F103</f>
        <v>0</v>
      </c>
      <c r="G104" s="86">
        <f>G63+G81+G103</f>
        <v>255370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6555126.9400000013</v>
      </c>
      <c r="D109" s="24" t="s">
        <v>288</v>
      </c>
      <c r="E109" s="95">
        <f>('DOE25'!L276)+('DOE25'!L295)+('DOE25'!L314)</f>
        <v>24381.59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3389696.63</v>
      </c>
      <c r="D110" s="24" t="s">
        <v>288</v>
      </c>
      <c r="E110" s="95">
        <f>('DOE25'!L277)+('DOE25'!L296)+('DOE25'!L315)</f>
        <v>98150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9944823.5700000003</v>
      </c>
      <c r="D115" s="86">
        <f>SUM(D109:D114)</f>
        <v>0</v>
      </c>
      <c r="E115" s="86">
        <f>SUM(E109:E114)</f>
        <v>122531.59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307415.67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232240.74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424713.31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643438.82000000007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567246.28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636284.15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71497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213947.79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2882835.97</v>
      </c>
      <c r="D128" s="86">
        <f>SUM(D118:D127)</f>
        <v>213947.79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180000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215898.76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50954.23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255370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-130370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571852.99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13399512.530000001</v>
      </c>
      <c r="D145" s="86">
        <f>(D115+D128+D144)</f>
        <v>213947.79</v>
      </c>
      <c r="E145" s="86">
        <f>(E115+E128+E144)</f>
        <v>122531.59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02/15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02/36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5798000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5662000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5662000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180000</v>
      </c>
    </row>
    <row r="159" spans="1:9" x14ac:dyDescent="0.2">
      <c r="A159" s="22" t="s">
        <v>35</v>
      </c>
      <c r="B159" s="137">
        <f>'DOE25'!F498</f>
        <v>5482000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5482000</v>
      </c>
    </row>
    <row r="160" spans="1:9" x14ac:dyDescent="0.2">
      <c r="A160" s="22" t="s">
        <v>36</v>
      </c>
      <c r="B160" s="137">
        <f>'DOE25'!F499</f>
        <v>1983537.42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1983537.42</v>
      </c>
    </row>
    <row r="161" spans="1:7" x14ac:dyDescent="0.2">
      <c r="A161" s="22" t="s">
        <v>37</v>
      </c>
      <c r="B161" s="137">
        <f>'DOE25'!F500</f>
        <v>7465537.4199999999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7465537.4199999999</v>
      </c>
    </row>
    <row r="162" spans="1:7" x14ac:dyDescent="0.2">
      <c r="A162" s="22" t="s">
        <v>38</v>
      </c>
      <c r="B162" s="137">
        <f>'DOE25'!F501</f>
        <v>190000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190000</v>
      </c>
    </row>
    <row r="163" spans="1:7" x14ac:dyDescent="0.2">
      <c r="A163" s="22" t="s">
        <v>39</v>
      </c>
      <c r="B163" s="137">
        <f>'DOE25'!F502</f>
        <v>206719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206719</v>
      </c>
    </row>
    <row r="164" spans="1:7" x14ac:dyDescent="0.2">
      <c r="A164" s="22" t="s">
        <v>246</v>
      </c>
      <c r="B164" s="137">
        <f>'DOE25'!F503</f>
        <v>396719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396719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6" t="s">
        <v>716</v>
      </c>
      <c r="B2" s="185" t="str">
        <f>'DOE25'!A2</f>
        <v>Hanover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19935</v>
      </c>
    </row>
    <row r="5" spans="1:4" x14ac:dyDescent="0.2">
      <c r="B5" t="s">
        <v>703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704</v>
      </c>
      <c r="C7" s="178">
        <f>IF('DOE25'!I665+'DOE25'!I670=0,0,ROUND('DOE25'!I672,0))</f>
        <v>19935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6579509</v>
      </c>
      <c r="D10" s="181">
        <f>ROUND((C10/$C$28)*100,1)</f>
        <v>49.8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3487847</v>
      </c>
      <c r="D11" s="181">
        <f>ROUND((C11/$C$28)*100,1)</f>
        <v>26.4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307416</v>
      </c>
      <c r="D15" s="181">
        <f t="shared" ref="D15:D27" si="0">ROUND((C15/$C$28)*100,1)</f>
        <v>2.2999999999999998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232241</v>
      </c>
      <c r="D16" s="181">
        <f t="shared" si="0"/>
        <v>1.8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496210</v>
      </c>
      <c r="D17" s="181">
        <f t="shared" si="0"/>
        <v>3.8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643439</v>
      </c>
      <c r="D18" s="181">
        <f t="shared" si="0"/>
        <v>4.9000000000000004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567246</v>
      </c>
      <c r="D20" s="181">
        <f t="shared" si="0"/>
        <v>4.3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636284</v>
      </c>
      <c r="D21" s="181">
        <f t="shared" si="0"/>
        <v>4.8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719</v>
      </c>
      <c r="C25" s="178">
        <f>ROUND('DOE25'!L261+'DOE25'!L342,0)</f>
        <v>215899</v>
      </c>
      <c r="D25" s="181">
        <f t="shared" si="0"/>
        <v>1.6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52046.200000000012</v>
      </c>
      <c r="D27" s="181">
        <f t="shared" si="0"/>
        <v>0.4</v>
      </c>
    </row>
    <row r="28" spans="1:4" x14ac:dyDescent="0.2">
      <c r="B28" s="186" t="s">
        <v>722</v>
      </c>
      <c r="C28" s="179">
        <f>SUM(C10:C27)</f>
        <v>13218137.199999999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728</v>
      </c>
      <c r="C30" s="179">
        <f>SUM(C28:C29)</f>
        <v>13218137.199999999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180000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10237733</v>
      </c>
      <c r="D35" s="181">
        <f t="shared" ref="D35:D40" si="1">ROUND((C35/$C$41)*100,1)</f>
        <v>72.900000000000006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369670.31000000052</v>
      </c>
      <c r="D36" s="181">
        <f t="shared" si="1"/>
        <v>2.6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2482574</v>
      </c>
      <c r="D37" s="181">
        <f t="shared" si="1"/>
        <v>17.7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634649</v>
      </c>
      <c r="D38" s="181">
        <f t="shared" si="1"/>
        <v>4.5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314786</v>
      </c>
      <c r="D39" s="181">
        <f t="shared" si="1"/>
        <v>2.2000000000000002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14039412.310000001</v>
      </c>
      <c r="D41" s="183">
        <f>SUM(D35:D40)</f>
        <v>99.9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2"/>
      <c r="K1" s="212"/>
      <c r="L1" s="212"/>
      <c r="M1" s="213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Hanover School District</v>
      </c>
      <c r="G2" s="299"/>
      <c r="H2" s="299"/>
      <c r="I2" s="299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6"/>
      <c r="AB29" s="206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6"/>
      <c r="AO29" s="206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6"/>
      <c r="BB29" s="206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6"/>
      <c r="BO29" s="206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6"/>
      <c r="CB29" s="206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6"/>
      <c r="CO29" s="206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6"/>
      <c r="DB29" s="206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6"/>
      <c r="DO29" s="206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6"/>
      <c r="EB29" s="206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6"/>
      <c r="EO29" s="206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6"/>
      <c r="FB29" s="206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6"/>
      <c r="FO29" s="206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6"/>
      <c r="GB29" s="206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6"/>
      <c r="GO29" s="206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6"/>
      <c r="HB29" s="206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6"/>
      <c r="HO29" s="206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6"/>
      <c r="IB29" s="206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6"/>
      <c r="IO29" s="206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6"/>
      <c r="AB30" s="206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6"/>
      <c r="AO30" s="206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6"/>
      <c r="BB30" s="206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6"/>
      <c r="BO30" s="206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6"/>
      <c r="CB30" s="206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6"/>
      <c r="CO30" s="206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6"/>
      <c r="DB30" s="206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6"/>
      <c r="DO30" s="206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6"/>
      <c r="EB30" s="206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6"/>
      <c r="EO30" s="206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6"/>
      <c r="FB30" s="206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6"/>
      <c r="FO30" s="206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6"/>
      <c r="GB30" s="206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6"/>
      <c r="GO30" s="206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6"/>
      <c r="HB30" s="206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6"/>
      <c r="HO30" s="206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6"/>
      <c r="IB30" s="206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6"/>
      <c r="IO30" s="206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6"/>
      <c r="AB31" s="206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6"/>
      <c r="AO31" s="206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6"/>
      <c r="BB31" s="206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6"/>
      <c r="BO31" s="206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6"/>
      <c r="CB31" s="206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6"/>
      <c r="CO31" s="206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6"/>
      <c r="DB31" s="206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6"/>
      <c r="DO31" s="206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6"/>
      <c r="EB31" s="206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6"/>
      <c r="EO31" s="206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6"/>
      <c r="FB31" s="206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6"/>
      <c r="FO31" s="206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6"/>
      <c r="GB31" s="206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6"/>
      <c r="GO31" s="206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6"/>
      <c r="HB31" s="206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6"/>
      <c r="HO31" s="206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6"/>
      <c r="IB31" s="206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6"/>
      <c r="IO31" s="206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6"/>
      <c r="AB38" s="206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6"/>
      <c r="AO38" s="206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6"/>
      <c r="BB38" s="206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6"/>
      <c r="BO38" s="206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6"/>
      <c r="CB38" s="206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6"/>
      <c r="CO38" s="206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6"/>
      <c r="DB38" s="206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6"/>
      <c r="DO38" s="206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6"/>
      <c r="EB38" s="206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6"/>
      <c r="EO38" s="206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6"/>
      <c r="FB38" s="206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6"/>
      <c r="FO38" s="206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6"/>
      <c r="GB38" s="206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6"/>
      <c r="GO38" s="206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6"/>
      <c r="HB38" s="206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6"/>
      <c r="HO38" s="206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6"/>
      <c r="IB38" s="206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6"/>
      <c r="IO38" s="206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6"/>
      <c r="AB39" s="206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6"/>
      <c r="AO39" s="206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6"/>
      <c r="BB39" s="206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6"/>
      <c r="BO39" s="206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6"/>
      <c r="CB39" s="206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6"/>
      <c r="CO39" s="206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6"/>
      <c r="DB39" s="206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6"/>
      <c r="DO39" s="206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6"/>
      <c r="EB39" s="206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6"/>
      <c r="EO39" s="206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6"/>
      <c r="FB39" s="206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6"/>
      <c r="FO39" s="206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6"/>
      <c r="GB39" s="206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6"/>
      <c r="GO39" s="206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6"/>
      <c r="HB39" s="206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6"/>
      <c r="HO39" s="206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6"/>
      <c r="IB39" s="206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6"/>
      <c r="IO39" s="206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6"/>
      <c r="AB40" s="206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6"/>
      <c r="AO40" s="206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6"/>
      <c r="BB40" s="206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6"/>
      <c r="BO40" s="206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6"/>
      <c r="CB40" s="206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6"/>
      <c r="CO40" s="206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6"/>
      <c r="DB40" s="206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6"/>
      <c r="DO40" s="206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6"/>
      <c r="EB40" s="206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6"/>
      <c r="EO40" s="206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6"/>
      <c r="FB40" s="206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6"/>
      <c r="FO40" s="206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6"/>
      <c r="GB40" s="206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6"/>
      <c r="GO40" s="206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6"/>
      <c r="HB40" s="206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6"/>
      <c r="HO40" s="206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6"/>
      <c r="IB40" s="206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6"/>
      <c r="IO40" s="206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767</v>
      </c>
      <c r="B73" s="209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0"/>
      <c r="B74" s="210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0"/>
      <c r="B75" s="210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0"/>
      <c r="B76" s="210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0"/>
      <c r="B77" s="210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0"/>
      <c r="B78" s="210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0"/>
      <c r="B79" s="210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0"/>
      <c r="B80" s="210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0"/>
      <c r="B81" s="210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0"/>
      <c r="B82" s="210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0"/>
      <c r="B83" s="210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0"/>
      <c r="B84" s="210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0"/>
      <c r="B85" s="210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0"/>
      <c r="B86" s="210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0"/>
      <c r="B87" s="210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0"/>
      <c r="B88" s="210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0"/>
      <c r="B89" s="210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0"/>
      <c r="B90" s="210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2017-10-04T14:48:40Z</cp:lastPrinted>
  <dcterms:created xsi:type="dcterms:W3CDTF">1997-12-04T19:04:30Z</dcterms:created>
  <dcterms:modified xsi:type="dcterms:W3CDTF">2017-11-29T17:27:24Z</dcterms:modified>
</cp:coreProperties>
</file>