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J472" i="1" l="1"/>
  <c r="I472" i="1"/>
  <c r="G472" i="1"/>
  <c r="J96" i="1"/>
  <c r="K611" i="1" l="1"/>
  <c r="G611" i="1"/>
  <c r="F611" i="1"/>
  <c r="H591" i="1"/>
  <c r="I526" i="1"/>
  <c r="H526" i="1"/>
  <c r="G526" i="1"/>
  <c r="F526" i="1"/>
  <c r="G521" i="1"/>
  <c r="F521" i="1"/>
  <c r="I521" i="1"/>
  <c r="J179" i="1"/>
  <c r="F367" i="1"/>
  <c r="I358" i="1"/>
  <c r="H358" i="1"/>
  <c r="G358" i="1"/>
  <c r="G283" i="1"/>
  <c r="H288" i="1"/>
  <c r="H287" i="1"/>
  <c r="K283" i="1"/>
  <c r="H283" i="1"/>
  <c r="I283" i="1"/>
  <c r="F283" i="1"/>
  <c r="H282" i="1"/>
  <c r="G282" i="1"/>
  <c r="F282" i="1"/>
  <c r="I282" i="1"/>
  <c r="I281" i="1"/>
  <c r="G281" i="1"/>
  <c r="F281" i="1"/>
  <c r="K279" i="1"/>
  <c r="H279" i="1"/>
  <c r="G279" i="1"/>
  <c r="F279" i="1"/>
  <c r="G277" i="1"/>
  <c r="J276" i="1"/>
  <c r="I276" i="1"/>
  <c r="G276" i="1"/>
  <c r="F276" i="1"/>
  <c r="I205" i="1"/>
  <c r="I202" i="1"/>
  <c r="H208" i="1"/>
  <c r="H204" i="1"/>
  <c r="H203" i="1"/>
  <c r="H202" i="1"/>
  <c r="G204" i="1"/>
  <c r="G203" i="1"/>
  <c r="G202" i="1"/>
  <c r="G200" i="1"/>
  <c r="F204" i="1"/>
  <c r="F203" i="1"/>
  <c r="F202" i="1"/>
  <c r="F200" i="1"/>
  <c r="H63" i="1"/>
  <c r="H102" i="1"/>
  <c r="H159" i="1"/>
  <c r="H155" i="1"/>
  <c r="H154" i="1"/>
  <c r="H150" i="1"/>
  <c r="G97" i="1"/>
  <c r="F110" i="1"/>
  <c r="H49" i="1"/>
  <c r="H28" i="1"/>
  <c r="H24" i="1"/>
  <c r="H13" i="1"/>
  <c r="H9" i="1"/>
  <c r="F12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E8" i="13" s="1"/>
  <c r="C8" i="13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123" i="2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C11" i="10" s="1"/>
  <c r="L278" i="1"/>
  <c r="L279" i="1"/>
  <c r="L281" i="1"/>
  <c r="L282" i="1"/>
  <c r="L283" i="1"/>
  <c r="L284" i="1"/>
  <c r="L285" i="1"/>
  <c r="C19" i="10" s="1"/>
  <c r="L286" i="1"/>
  <c r="L287" i="1"/>
  <c r="E124" i="2" s="1"/>
  <c r="L288" i="1"/>
  <c r="E125" i="2" s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C12" i="10"/>
  <c r="C13" i="10"/>
  <c r="C20" i="10"/>
  <c r="L250" i="1"/>
  <c r="L332" i="1"/>
  <c r="L254" i="1"/>
  <c r="C25" i="10"/>
  <c r="L268" i="1"/>
  <c r="L269" i="1"/>
  <c r="L349" i="1"/>
  <c r="L350" i="1"/>
  <c r="E143" i="2" s="1"/>
  <c r="I665" i="1"/>
  <c r="I670" i="1"/>
  <c r="G662" i="1"/>
  <c r="H662" i="1"/>
  <c r="I669" i="1"/>
  <c r="C42" i="10"/>
  <c r="C32" i="10"/>
  <c r="L374" i="1"/>
  <c r="L375" i="1"/>
  <c r="F130" i="2" s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K551" i="1" s="1"/>
  <c r="L526" i="1"/>
  <c r="G549" i="1" s="1"/>
  <c r="G552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 s="1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E112" i="2"/>
  <c r="C113" i="2"/>
  <c r="E113" i="2"/>
  <c r="C114" i="2"/>
  <c r="E114" i="2"/>
  <c r="D115" i="2"/>
  <c r="F115" i="2"/>
  <c r="G115" i="2"/>
  <c r="E118" i="2"/>
  <c r="E119" i="2"/>
  <c r="C120" i="2"/>
  <c r="E121" i="2"/>
  <c r="C122" i="2"/>
  <c r="E122" i="2"/>
  <c r="E123" i="2"/>
  <c r="C125" i="2"/>
  <c r="D127" i="2"/>
  <c r="D128" i="2" s="1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H192" i="1" s="1"/>
  <c r="I183" i="1"/>
  <c r="J183" i="1"/>
  <c r="J192" i="1" s="1"/>
  <c r="F188" i="1"/>
  <c r="G188" i="1"/>
  <c r="H188" i="1"/>
  <c r="I188" i="1"/>
  <c r="F211" i="1"/>
  <c r="F257" i="1" s="1"/>
  <c r="F271" i="1" s="1"/>
  <c r="G211" i="1"/>
  <c r="H211" i="1"/>
  <c r="I211" i="1"/>
  <c r="I257" i="1" s="1"/>
  <c r="I271" i="1" s="1"/>
  <c r="J211" i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J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G461" i="1" s="1"/>
  <c r="H640" i="1" s="1"/>
  <c r="J640" i="1" s="1"/>
  <c r="H460" i="1"/>
  <c r="I460" i="1"/>
  <c r="I461" i="1" s="1"/>
  <c r="H642" i="1" s="1"/>
  <c r="F461" i="1"/>
  <c r="H461" i="1"/>
  <c r="F470" i="1"/>
  <c r="G470" i="1"/>
  <c r="H470" i="1"/>
  <c r="I470" i="1"/>
  <c r="J470" i="1"/>
  <c r="G474" i="1"/>
  <c r="I474" i="1"/>
  <c r="I476" i="1" s="1"/>
  <c r="H625" i="1" s="1"/>
  <c r="J625" i="1" s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G545" i="1" s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9" i="1"/>
  <c r="G620" i="1"/>
  <c r="G622" i="1"/>
  <c r="G623" i="1"/>
  <c r="G624" i="1"/>
  <c r="G625" i="1"/>
  <c r="H627" i="1"/>
  <c r="H628" i="1"/>
  <c r="H629" i="1"/>
  <c r="H630" i="1"/>
  <c r="H631" i="1"/>
  <c r="G634" i="1"/>
  <c r="H635" i="1"/>
  <c r="H636" i="1"/>
  <c r="H637" i="1"/>
  <c r="H638" i="1"/>
  <c r="G639" i="1"/>
  <c r="H639" i="1"/>
  <c r="G640" i="1"/>
  <c r="G641" i="1"/>
  <c r="H641" i="1"/>
  <c r="G643" i="1"/>
  <c r="H643" i="1"/>
  <c r="G644" i="1"/>
  <c r="G645" i="1"/>
  <c r="G649" i="1"/>
  <c r="G650" i="1"/>
  <c r="G651" i="1"/>
  <c r="J651" i="1" s="1"/>
  <c r="G652" i="1"/>
  <c r="H652" i="1"/>
  <c r="G653" i="1"/>
  <c r="H653" i="1"/>
  <c r="G654" i="1"/>
  <c r="H654" i="1"/>
  <c r="H655" i="1"/>
  <c r="F192" i="1"/>
  <c r="L256" i="1"/>
  <c r="G257" i="1"/>
  <c r="G271" i="1" s="1"/>
  <c r="G164" i="2"/>
  <c r="C26" i="10"/>
  <c r="L328" i="1"/>
  <c r="L351" i="1"/>
  <c r="A31" i="12"/>
  <c r="C70" i="2"/>
  <c r="D12" i="13"/>
  <c r="C12" i="13" s="1"/>
  <c r="D18" i="13"/>
  <c r="C18" i="13" s="1"/>
  <c r="D18" i="2"/>
  <c r="D17" i="13"/>
  <c r="C17" i="13" s="1"/>
  <c r="C91" i="2"/>
  <c r="F78" i="2"/>
  <c r="F81" i="2" s="1"/>
  <c r="D31" i="2"/>
  <c r="C78" i="2"/>
  <c r="D50" i="2"/>
  <c r="G157" i="2"/>
  <c r="F18" i="2"/>
  <c r="G161" i="2"/>
  <c r="G156" i="2"/>
  <c r="D91" i="2"/>
  <c r="G62" i="2"/>
  <c r="D29" i="13"/>
  <c r="C29" i="13" s="1"/>
  <c r="D19" i="13"/>
  <c r="C19" i="13" s="1"/>
  <c r="E13" i="13"/>
  <c r="C13" i="13" s="1"/>
  <c r="E78" i="2"/>
  <c r="E81" i="2" s="1"/>
  <c r="L427" i="1"/>
  <c r="J257" i="1"/>
  <c r="J271" i="1" s="1"/>
  <c r="J641" i="1"/>
  <c r="K605" i="1"/>
  <c r="G648" i="1" s="1"/>
  <c r="J571" i="1"/>
  <c r="K571" i="1"/>
  <c r="L433" i="1"/>
  <c r="L419" i="1"/>
  <c r="D81" i="2"/>
  <c r="I169" i="1"/>
  <c r="H169" i="1"/>
  <c r="J643" i="1"/>
  <c r="G476" i="1"/>
  <c r="H623" i="1" s="1"/>
  <c r="J623" i="1" s="1"/>
  <c r="J140" i="1"/>
  <c r="F571" i="1"/>
  <c r="I552" i="1"/>
  <c r="K550" i="1"/>
  <c r="G22" i="2"/>
  <c r="J552" i="1"/>
  <c r="C29" i="10"/>
  <c r="H140" i="1"/>
  <c r="L393" i="1"/>
  <c r="F22" i="13"/>
  <c r="H25" i="13"/>
  <c r="C25" i="13" s="1"/>
  <c r="H571" i="1"/>
  <c r="L560" i="1"/>
  <c r="L309" i="1"/>
  <c r="E16" i="13"/>
  <c r="J655" i="1"/>
  <c r="L570" i="1"/>
  <c r="I571" i="1"/>
  <c r="G36" i="2"/>
  <c r="L565" i="1"/>
  <c r="C22" i="13"/>
  <c r="C138" i="2"/>
  <c r="H33" i="13"/>
  <c r="K271" i="1" l="1"/>
  <c r="J476" i="1"/>
  <c r="H626" i="1" s="1"/>
  <c r="J639" i="1"/>
  <c r="A40" i="12"/>
  <c r="A13" i="12"/>
  <c r="L614" i="1"/>
  <c r="K598" i="1"/>
  <c r="G647" i="1" s="1"/>
  <c r="J649" i="1"/>
  <c r="L534" i="1"/>
  <c r="L529" i="1"/>
  <c r="I545" i="1"/>
  <c r="K549" i="1"/>
  <c r="K552" i="1" s="1"/>
  <c r="H545" i="1"/>
  <c r="F552" i="1"/>
  <c r="L524" i="1"/>
  <c r="J645" i="1"/>
  <c r="L382" i="1"/>
  <c r="G636" i="1" s="1"/>
  <c r="J636" i="1" s="1"/>
  <c r="H661" i="1"/>
  <c r="D145" i="2"/>
  <c r="F661" i="1"/>
  <c r="I661" i="1" s="1"/>
  <c r="L362" i="1"/>
  <c r="C27" i="10" s="1"/>
  <c r="C17" i="10"/>
  <c r="C21" i="10"/>
  <c r="K338" i="1"/>
  <c r="K352" i="1" s="1"/>
  <c r="E120" i="2"/>
  <c r="E128" i="2" s="1"/>
  <c r="C16" i="10"/>
  <c r="C15" i="10"/>
  <c r="L290" i="1"/>
  <c r="L338" i="1" s="1"/>
  <c r="L352" i="1" s="1"/>
  <c r="J338" i="1"/>
  <c r="J352" i="1" s="1"/>
  <c r="E115" i="2"/>
  <c r="L247" i="1"/>
  <c r="H660" i="1" s="1"/>
  <c r="H257" i="1"/>
  <c r="H271" i="1" s="1"/>
  <c r="L229" i="1"/>
  <c r="G660" i="1" s="1"/>
  <c r="G664" i="1" s="1"/>
  <c r="C10" i="10"/>
  <c r="D5" i="13"/>
  <c r="C5" i="13" s="1"/>
  <c r="E33" i="13"/>
  <c r="D35" i="13" s="1"/>
  <c r="C110" i="2"/>
  <c r="D15" i="13"/>
  <c r="C15" i="13" s="1"/>
  <c r="C124" i="2"/>
  <c r="H647" i="1"/>
  <c r="J647" i="1" s="1"/>
  <c r="F662" i="1"/>
  <c r="I662" i="1" s="1"/>
  <c r="C16" i="13"/>
  <c r="D14" i="13"/>
  <c r="C14" i="13" s="1"/>
  <c r="C121" i="2"/>
  <c r="D7" i="13"/>
  <c r="C7" i="13" s="1"/>
  <c r="C119" i="2"/>
  <c r="D6" i="13"/>
  <c r="C6" i="13" s="1"/>
  <c r="C118" i="2"/>
  <c r="L211" i="1"/>
  <c r="C112" i="2"/>
  <c r="C109" i="2"/>
  <c r="E62" i="2"/>
  <c r="E63" i="2" s="1"/>
  <c r="H112" i="1"/>
  <c r="H193" i="1" s="1"/>
  <c r="G629" i="1" s="1"/>
  <c r="J629" i="1" s="1"/>
  <c r="C81" i="2"/>
  <c r="C62" i="2"/>
  <c r="C63" i="2" s="1"/>
  <c r="C35" i="10"/>
  <c r="F112" i="1"/>
  <c r="E31" i="2"/>
  <c r="H52" i="1"/>
  <c r="H619" i="1" s="1"/>
  <c r="J619" i="1" s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G169" i="1"/>
  <c r="C39" i="10" s="1"/>
  <c r="G140" i="1"/>
  <c r="F140" i="1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I663" i="1"/>
  <c r="G633" i="1" l="1"/>
  <c r="H472" i="1"/>
  <c r="L545" i="1"/>
  <c r="H646" i="1"/>
  <c r="J646" i="1" s="1"/>
  <c r="G635" i="1"/>
  <c r="J635" i="1" s="1"/>
  <c r="H664" i="1"/>
  <c r="H667" i="1" s="1"/>
  <c r="E145" i="2"/>
  <c r="D31" i="13"/>
  <c r="C31" i="13" s="1"/>
  <c r="F660" i="1"/>
  <c r="F664" i="1" s="1"/>
  <c r="F667" i="1" s="1"/>
  <c r="H648" i="1"/>
  <c r="J648" i="1" s="1"/>
  <c r="C28" i="10"/>
  <c r="D24" i="10" s="1"/>
  <c r="G672" i="1"/>
  <c r="C5" i="10" s="1"/>
  <c r="G667" i="1"/>
  <c r="C128" i="2"/>
  <c r="L257" i="1"/>
  <c r="L271" i="1" s="1"/>
  <c r="C115" i="2"/>
  <c r="E104" i="2"/>
  <c r="C104" i="2"/>
  <c r="F193" i="1"/>
  <c r="G627" i="1" s="1"/>
  <c r="J627" i="1" s="1"/>
  <c r="C36" i="10"/>
  <c r="E51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32" i="1" l="1"/>
  <c r="F472" i="1"/>
  <c r="H633" i="1"/>
  <c r="H474" i="1"/>
  <c r="H476" i="1" s="1"/>
  <c r="H624" i="1" s="1"/>
  <c r="J624" i="1" s="1"/>
  <c r="J633" i="1"/>
  <c r="H672" i="1"/>
  <c r="C6" i="10" s="1"/>
  <c r="D33" i="13"/>
  <c r="D36" i="13" s="1"/>
  <c r="I660" i="1"/>
  <c r="I664" i="1" s="1"/>
  <c r="I672" i="1" s="1"/>
  <c r="C7" i="10" s="1"/>
  <c r="F672" i="1"/>
  <c r="C4" i="10" s="1"/>
  <c r="D23" i="10"/>
  <c r="D20" i="10"/>
  <c r="D11" i="10"/>
  <c r="C30" i="10"/>
  <c r="D10" i="10"/>
  <c r="D19" i="10"/>
  <c r="D13" i="10"/>
  <c r="D21" i="10"/>
  <c r="D15" i="10"/>
  <c r="D16" i="10"/>
  <c r="D26" i="10"/>
  <c r="D25" i="10"/>
  <c r="D22" i="10"/>
  <c r="D27" i="10"/>
  <c r="D18" i="10"/>
  <c r="D17" i="10"/>
  <c r="D12" i="10"/>
  <c r="C145" i="2"/>
  <c r="C41" i="10"/>
  <c r="D38" i="10" s="1"/>
  <c r="H632" i="1" l="1"/>
  <c r="F474" i="1"/>
  <c r="F476" i="1" s="1"/>
  <c r="H622" i="1" s="1"/>
  <c r="J632" i="1"/>
  <c r="I667" i="1"/>
  <c r="D28" i="10"/>
  <c r="D37" i="10"/>
  <c r="D36" i="10"/>
  <c r="D35" i="10"/>
  <c r="D40" i="10"/>
  <c r="D39" i="10"/>
  <c r="J622" i="1" l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<sst xmlns="http://schemas.openxmlformats.org/spreadsheetml/2006/main" count="3955" uniqueCount="913">
  <si>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</si>
  <si>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</si>
  <si>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</si>
  <si>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</si>
  <si>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</si>
  <si>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</si>
  <si>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</si>
  <si>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</si>
  <si>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</si>
  <si>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</si>
  <si>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</si>
  <si>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</si>
  <si>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</si>
  <si>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</si>
  <si>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</si>
  <si>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</si>
  <si>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</si>
  <si>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</si>
  <si>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</si>
  <si>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</si>
  <si>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</si>
  <si>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</si>
  <si>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</si>
  <si>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</si>
  <si>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</si>
  <si>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</si>
  <si>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</si>
  <si>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</si>
  <si>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</si>
  <si>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</si>
  <si>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</si>
  <si>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</si>
  <si>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</si>
  <si>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</si>
  <si>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</si>
  <si>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</si>
  <si>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</si>
  <si>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</si>
  <si>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</si>
  <si>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</si>
  <si>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</si>
  <si>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</si>
  <si>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</si>
  <si>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</si>
  <si>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</si>
  <si>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</si>
  <si>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</si>
  <si>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</si>
  <si>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</si>
  <si>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</si>
  <si>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</si>
  <si>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</si>
  <si>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</si>
  <si>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</si>
  <si>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</si>
  <si>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</si>
  <si>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</si>
  <si>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</si>
  <si>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</si>
  <si>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</si>
  <si>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</si>
  <si>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</si>
  <si>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</si>
  <si>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</si>
  <si>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</si>
  <si>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</si>
  <si>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</si>
  <si>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</si>
  <si>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</si>
  <si>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</si>
  <si>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</si>
  <si>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</si>
  <si>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</si>
  <si>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</si>
  <si>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</si>
  <si>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</si>
  <si>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</si>
  <si>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</si>
  <si>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</si>
  <si>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</si>
  <si>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</si>
  <si>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</si>
  <si>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</si>
  <si>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</si>
  <si>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</si>
  <si>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</si>
  <si>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</si>
  <si>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</si>
  <si>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</si>
  <si>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</si>
  <si>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</si>
  <si>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</si>
  <si>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</si>
  <si>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</si>
  <si>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</si>
  <si>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</si>
  <si>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</si>
  <si>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</si>
  <si>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</si>
  <si>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</si>
  <si>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</si>
  <si>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</si>
  <si>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</si>
  <si>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</si>
  <si>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</si>
  <si>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</si>
  <si>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</si>
  <si>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</si>
  <si>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</si>
  <si>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</si>
  <si>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</si>
  <si>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</si>
  <si>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</si>
  <si>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</si>
  <si>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</si>
  <si>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</si>
  <si>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</si>
  <si>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</si>
  <si>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</si>
  <si>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</si>
  <si>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</si>
  <si>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</si>
  <si>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</si>
  <si>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</si>
  <si>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</si>
  <si>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</si>
  <si>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</si>
  <si>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</si>
  <si>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</si>
  <si>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</si>
  <si>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</si>
  <si>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</si>
  <si>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</si>
  <si>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</si>
  <si>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</si>
  <si>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</si>
  <si>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</si>
  <si>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</si>
  <si>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</si>
  <si>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</si>
  <si>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</si>
  <si>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</si>
  <si>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</si>
  <si>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</si>
  <si>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</si>
  <si>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</si>
  <si>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</si>
  <si>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</si>
  <si>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</si>
  <si>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</si>
  <si>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</si>
  <si>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</si>
  <si>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</si>
  <si>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</si>
  <si>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</si>
  <si>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</si>
  <si>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</si>
  <si>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</si>
  <si>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</si>
  <si>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</si>
  <si>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</si>
  <si>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</si>
  <si>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</si>
  <si>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</si>
  <si>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</si>
  <si>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</si>
  <si>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</si>
  <si>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</si>
  <si>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</si>
  <si>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</si>
  <si>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</si>
  <si>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</si>
  <si>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</si>
  <si>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</si>
  <si>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</si>
  <si>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</si>
  <si>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</si>
  <si>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</si>
  <si>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</si>
  <si>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</si>
  <si>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</si>
  <si>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</si>
  <si>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</si>
  <si>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</si>
  <si>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</si>
  <si>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</si>
  <si>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</si>
  <si>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</si>
  <si>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</si>
  <si>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</si>
  <si>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</si>
  <si>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</si>
  <si>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</si>
  <si>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</si>
  <si>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</si>
  <si>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</si>
  <si>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</si>
  <si>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</si>
  <si>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</si>
  <si>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</si>
  <si>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</si>
  <si>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</si>
  <si>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</si>
  <si>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</si>
  <si>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</si>
  <si>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</si>
  <si>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</si>
  <si>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</si>
  <si>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</si>
  <si>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</si>
  <si>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</si>
  <si>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</si>
  <si>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</si>
  <si>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</si>
  <si>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</si>
  <si>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</si>
  <si>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</si>
  <si>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</si>
  <si>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</si>
  <si>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</si>
  <si>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</si>
  <si>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</si>
  <si>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</si>
  <si>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</si>
  <si>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</si>
  <si>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</si>
  <si>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</si>
  <si>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</si>
  <si>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</si>
  <si>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</si>
  <si>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</si>
  <si>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</si>
  <si>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</si>
  <si>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</si>
  <si>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</si>
  <si>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</si>
  <si>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</si>
  <si>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</si>
  <si>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</si>
  <si>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</si>
  <si>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</si>
  <si>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</si>
  <si>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</si>
  <si>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</si>
  <si>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</si>
  <si>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</si>
  <si>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</si>
  <si>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</si>
  <si>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</si>
  <si>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</si>
  <si>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</si>
  <si>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</si>
  <si>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</si>
  <si>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</si>
  <si>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</si>
  <si>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</si>
  <si>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</si>
  <si>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</si>
  <si>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</si>
  <si>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</si>
  <si>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</si>
  <si>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</si>
  <si>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</si>
  <si>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</si>
  <si>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</si>
  <si>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</si>
  <si>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</si>
  <si>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</si>
  <si>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</si>
  <si>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</si>
  <si>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</si>
  <si>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</si>
  <si>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</si>
  <si>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</si>
  <si>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</si>
  <si>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</si>
  <si>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</si>
  <si>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</si>
  <si>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</si>
  <si>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</si>
  <si>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</si>
  <si>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</si>
  <si>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</si>
  <si>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</si>
  <si>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</si>
  <si>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</si>
  <si>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</si>
  <si>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</si>
  <si>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</si>
  <si>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</si>
  <si>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</si>
  <si>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</si>
  <si>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</si>
  <si>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</si>
  <si>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</si>
  <si>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</si>
  <si>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</si>
  <si>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</si>
  <si>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</si>
  <si>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</si>
  <si>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</si>
  <si>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</si>
  <si>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</si>
  <si>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</si>
  <si>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</si>
  <si>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</si>
  <si>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</si>
  <si>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</si>
  <si>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</si>
  <si>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</si>
  <si>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</si>
  <si>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</si>
  <si>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</si>
  <si>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</si>
  <si>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</si>
  <si>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</si>
  <si>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</si>
  <si>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</si>
  <si>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</si>
  <si>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</si>
  <si>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</si>
  <si>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</si>
  <si>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</si>
  <si>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</si>
  <si>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</si>
  <si>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</si>
  <si>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</si>
  <si>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</si>
  <si>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</si>
  <si>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</si>
  <si>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</si>
  <si>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</si>
  <si>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</si>
  <si>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</si>
  <si>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</si>
  <si>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</si>
  <si>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</si>
  <si>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</si>
  <si>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</si>
  <si>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</si>
  <si>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</si>
  <si>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</si>
  <si>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</si>
  <si>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</si>
  <si>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</si>
  <si>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</si>
  <si>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</si>
  <si>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</si>
  <si>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</si>
  <si>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</si>
  <si>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</si>
  <si>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</si>
  <si>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</si>
  <si>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</si>
  <si>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</si>
  <si>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</si>
  <si>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</si>
  <si>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</si>
  <si>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</si>
  <si>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</si>
  <si>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</si>
  <si>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</si>
  <si>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</si>
  <si>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</si>
  <si>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</si>
  <si>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</si>
  <si>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</si>
  <si>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</si>
  <si>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</si>
  <si>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</si>
  <si>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</si>
  <si>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</si>
  <si>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</si>
  <si>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</si>
  <si>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</si>
  <si>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</si>
  <si>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</si>
  <si>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</si>
  <si>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</si>
  <si>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</si>
  <si>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</si>
  <si>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</si>
  <si>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</si>
  <si>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</si>
  <si>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</si>
  <si>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</si>
  <si>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</si>
  <si>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</si>
  <si>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</si>
  <si>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</si>
  <si>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</si>
  <si>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</si>
  <si>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</si>
  <si>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</si>
  <si>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</si>
  <si>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</si>
  <si>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</si>
  <si>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</si>
  <si>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</si>
  <si>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</si>
  <si>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</si>
  <si>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</si>
  <si>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</si>
  <si>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</si>
  <si>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</si>
  <si>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</si>
  <si>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</si>
  <si>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</si>
  <si>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</si>
  <si>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</si>
  <si>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</si>
  <si>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</si>
  <si>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</si>
  <si>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</si>
  <si>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</si>
  <si>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</si>
  <si>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</si>
  <si>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</si>
  <si>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</si>
  <si>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</si>
  <si>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</si>
  <si>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</si>
  <si>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</si>
  <si>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</si>
  <si>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</si>
  <si>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</si>
  <si>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</si>
  <si>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</si>
  <si>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</si>
  <si>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</si>
  <si>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</si>
  <si>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</si>
  <si>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</si>
  <si>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</si>
  <si>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</si>
  <si>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</si>
  <si>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</si>
  <si>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</si>
  <si>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</si>
  <si>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</si>
  <si>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</si>
  <si>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</si>
  <si>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</si>
  <si>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</si>
  <si>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</si>
  <si>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</si>
  <si>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</si>
  <si>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</si>
  <si>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</si>
  <si>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</si>
  <si>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</si>
  <si>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</si>
  <si>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</si>
  <si>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</si>
  <si>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</si>
  <si>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</si>
  <si>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</si>
  <si>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</si>
  <si>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</si>
  <si>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</si>
  <si>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</si>
  <si>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</si>
  <si>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</si>
  <si>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</si>
  <si>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</si>
  <si>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</si>
  <si>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</si>
  <si>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</si>
  <si>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</si>
  <si>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</si>
  <si>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</si>
  <si>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</si>
  <si>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</si>
  <si>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</si>
  <si>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</si>
  <si>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</si>
  <si>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</si>
  <si>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</si>
  <si>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</si>
  <si>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</si>
  <si>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</si>
  <si>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</si>
  <si>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</si>
  <si>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</si>
  <si>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</si>
  <si>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</si>
  <si>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</si>
  <si>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</si>
  <si>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</si>
  <si>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</si>
  <si>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</si>
  <si>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</si>
  <si>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</si>
  <si>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</si>
  <si>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</si>
  <si>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</si>
  <si>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</si>
  <si>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</si>
  <si>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</si>
  <si>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</si>
  <si>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</si>
  <si>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</si>
  <si>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</si>
  <si>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</si>
  <si>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</si>
  <si>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</si>
  <si>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</si>
  <si>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</si>
  <si>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</si>
  <si>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</si>
  <si>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</si>
  <si>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</si>
  <si>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</si>
  <si>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</si>
  <si>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</si>
  <si>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</si>
  <si>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</si>
  <si>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</si>
  <si>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</si>
  <si>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</si>
  <si>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</si>
  <si>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</si>
  <si>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</si>
  <si>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</si>
  <si>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</si>
  <si>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</si>
  <si>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</si>
  <si>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</si>
  <si>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</si>
  <si>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</si>
  <si>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</si>
  <si>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</si>
  <si>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</si>
  <si>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</si>
  <si>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</si>
  <si>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</si>
  <si>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</si>
  <si>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</si>
  <si>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</si>
  <si>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</si>
  <si>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</si>
  <si>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</si>
  <si>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</si>
  <si>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</si>
  <si>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</si>
  <si>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</si>
  <si>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</si>
  <si>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</si>
  <si>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</si>
  <si>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</si>
  <si>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</si>
  <si>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</si>
  <si>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</si>
  <si>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</si>
  <si>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</si>
  <si>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</si>
  <si>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</si>
  <si>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</si>
  <si>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</si>
  <si>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</si>
  <si>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</si>
  <si>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</si>
  <si>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</si>
  <si>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</si>
  <si>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</si>
  <si>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</si>
  <si>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</si>
  <si>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</si>
  <si>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</si>
  <si>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</si>
  <si>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</si>
  <si>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</si>
  <si>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</si>
  <si>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</si>
  <si>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</si>
  <si>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</si>
  <si>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</si>
  <si>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</si>
  <si>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</si>
  <si>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</si>
  <si>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</si>
  <si>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</si>
  <si>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</si>
  <si>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</si>
  <si>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</si>
  <si>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</si>
  <si>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</si>
  <si>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</si>
  <si>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</si>
  <si>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</si>
  <si>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</si>
  <si>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</si>
  <si>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</si>
  <si>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</si>
  <si>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</si>
  <si>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</si>
  <si>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</si>
  <si>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</si>
  <si>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</si>
  <si>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</si>
  <si>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</si>
  <si>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</si>
  <si>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</si>
  <si>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</si>
  <si>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</si>
  <si>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</si>
  <si>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</si>
  <si>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</si>
  <si>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</si>
  <si>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</si>
  <si>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</si>
  <si>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</si>
  <si>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</si>
  <si>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</si>
  <si>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</si>
  <si>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</si>
  <si>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</si>
  <si>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</si>
  <si>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</si>
  <si>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</si>
  <si>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</si>
  <si>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</si>
  <si>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</si>
  <si>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</si>
  <si>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</si>
  <si>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</si>
  <si>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</si>
  <si>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</si>
  <si>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</si>
  <si>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</si>
  <si>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</si>
  <si>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</si>
  <si>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</si>
  <si>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</si>
  <si>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</si>
  <si>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</si>
  <si>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</si>
  <si>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</si>
  <si>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</si>
  <si>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</si>
  <si>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</si>
  <si>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</si>
  <si>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</si>
  <si>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</si>
  <si>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</si>
  <si>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</si>
  <si>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</si>
  <si>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</si>
  <si>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</si>
  <si>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</si>
  <si>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</si>
  <si>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</si>
  <si>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</si>
  <si>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</si>
  <si>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</si>
  <si>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</si>
  <si>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</si>
  <si>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</si>
  <si>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</si>
  <si>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</si>
  <si>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</si>
  <si>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</si>
  <si>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</si>
  <si>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</si>
  <si>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</si>
  <si>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</si>
  <si>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</si>
  <si>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</si>
  <si>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</si>
  <si>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</si>
  <si>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</si>
  <si>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</si>
  <si>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</si>
  <si>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</si>
  <si>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</si>
  <si>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</si>
  <si>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</si>
  <si>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</si>
  <si>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</si>
  <si>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</si>
  <si>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</si>
  <si>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</si>
  <si>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</si>
  <si>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</si>
  <si>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</si>
  <si>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</si>
  <si>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</si>
  <si>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</si>
  <si>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</si>
  <si>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</si>
  <si>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</si>
  <si>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</si>
  <si>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</si>
  <si>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</si>
  <si>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</si>
  <si>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</si>
  <si>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</si>
  <si>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</si>
  <si>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</si>
  <si>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</si>
  <si>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</si>
  <si>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</si>
  <si>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</si>
  <si>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</si>
  <si>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</si>
  <si>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</si>
  <si>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</si>
  <si>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</si>
  <si>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</si>
  <si>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</si>
  <si>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</si>
  <si>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</si>
  <si>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</si>
  <si>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</si>
  <si>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</si>
  <si>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</si>
  <si>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</si>
  <si>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</si>
  <si>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</si>
  <si>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</si>
  <si>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</si>
  <si>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</si>
  <si>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</si>
  <si>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</si>
  <si>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</si>
  <si>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</si>
  <si>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</si>
  <si>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</si>
  <si>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</si>
  <si>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</si>
  <si>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</si>
  <si>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</si>
  <si>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</si>
  <si>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</si>
  <si>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</si>
  <si>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</si>
  <si>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</si>
  <si>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</si>
  <si>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</si>
  <si>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</si>
  <si>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</si>
  <si>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</si>
  <si>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</si>
  <si>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</si>
  <si>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</si>
  <si>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</si>
  <si>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</si>
  <si>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</si>
  <si>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</si>
  <si>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</si>
  <si>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</si>
  <si>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</si>
  <si>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</si>
  <si>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</si>
  <si>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</si>
  <si>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</si>
  <si>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</si>
  <si>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</si>
  <si>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</si>
  <si>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</si>
  <si>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</si>
  <si>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</si>
  <si>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</si>
  <si>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</si>
  <si>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</si>
  <si>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</si>
  <si>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</si>
  <si>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</si>
  <si>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</si>
  <si>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</si>
  <si>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</si>
  <si>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</si>
  <si>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</si>
  <si>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</si>
  <si>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</si>
  <si>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</si>
  <si>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</si>
  <si>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</si>
  <si>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</si>
  <si>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</si>
  <si>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</si>
  <si>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</si>
  <si>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</si>
  <si>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</si>
  <si>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</si>
  <si>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</si>
  <si>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</si>
  <si>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</si>
  <si>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</si>
  <si>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</si>
  <si>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</si>
  <si>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</si>
  <si>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</si>
  <si>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</si>
  <si>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</si>
  <si>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</si>
  <si>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</si>
  <si>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</si>
  <si>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</si>
  <si>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</si>
  <si>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</si>
  <si>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</si>
  <si>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</si>
  <si>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</si>
  <si>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</si>
  <si>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</si>
  <si>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</si>
  <si>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</si>
  <si>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</si>
  <si>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</si>
  <si>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</si>
  <si>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</si>
  <si>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</si>
  <si>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</si>
  <si>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</si>
  <si>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</si>
  <si>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</si>
  <si>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</si>
  <si>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</si>
  <si>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</si>
  <si>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</si>
  <si>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</si>
  <si>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</si>
  <si>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</si>
  <si>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</si>
  <si>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</si>
  <si>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</si>
  <si>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</si>
  <si>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</si>
  <si>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</si>
  <si>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</si>
  <si>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</si>
  <si>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</si>
  <si>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</si>
  <si>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</si>
  <si>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</si>
  <si>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</si>
  <si>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</si>
  <si>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</si>
  <si>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</si>
  <si>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</si>
  <si>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</si>
  <si>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</si>
  <si>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</si>
  <si>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</si>
  <si>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</si>
  <si>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</si>
  <si>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</si>
  <si>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</si>
  <si>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</si>
  <si>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</si>
  <si>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</si>
  <si>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</si>
  <si>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</si>
  <si>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</si>
  <si>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</si>
  <si>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</si>
  <si>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</si>
  <si>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</si>
  <si>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</si>
  <si>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</si>
  <si>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</si>
  <si>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</si>
  <si>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</si>
  <si>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</si>
  <si>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</si>
  <si>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</si>
  <si>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</si>
  <si>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</si>
  <si>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</si>
  <si>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</si>
  <si>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</si>
  <si>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</si>
  <si>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</si>
  <si>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</si>
  <si>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</si>
  <si>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</si>
  <si>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</si>
  <si>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</si>
  <si>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</si>
  <si>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</si>
  <si>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</si>
  <si>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</si>
  <si>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</si>
  <si>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</si>
  <si>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</si>
  <si>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</si>
  <si>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</si>
  <si>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</si>
  <si>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</si>
  <si>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</si>
  <si>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</si>
  <si>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</si>
  <si>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</si>
  <si>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</si>
  <si>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</si>
  <si>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</si>
  <si>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</si>
  <si>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</si>
  <si>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</si>
  <si>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</si>
  <si>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</si>
  <si>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</si>
  <si>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</si>
  <si>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</si>
  <si>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</si>
  <si>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</si>
  <si>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</si>
  <si>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</si>
  <si>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</si>
  <si>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</si>
  <si>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</si>
  <si>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HARRISVILLE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</si>
</sst>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96" zoomScaleNormal="96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235</v>
      </c>
      <c r="C2" s="21">
        <v>235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1190.21-19153.27</f>
        <v>-17963.060000000001</v>
      </c>
      <c r="G9" s="18"/>
      <c r="H9" s="18">
        <f>927.1+35969.27+500</f>
        <v>37396.369999999995</v>
      </c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205985.3</v>
      </c>
      <c r="G10" s="18"/>
      <c r="H10" s="18"/>
      <c r="I10" s="18"/>
      <c r="J10" s="67">
        <f>SUM(I440)</f>
        <v>308538.29000000004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f>102.47+16684.57</f>
        <v>16787.04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48957.56</v>
      </c>
      <c r="G13" s="18">
        <v>555.87</v>
      </c>
      <c r="H13" s="18">
        <f>17024.93+20000</f>
        <v>37024.93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200</v>
      </c>
      <c r="G14" s="18">
        <v>17.45</v>
      </c>
      <c r="H14" s="18">
        <v>11249.9</v>
      </c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253966.84</v>
      </c>
      <c r="G19" s="41">
        <f>SUM(G9:G18)</f>
        <v>573.32000000000005</v>
      </c>
      <c r="H19" s="41">
        <f>SUM(H9:H18)</f>
        <v>85671.199999999983</v>
      </c>
      <c r="I19" s="41">
        <f>SUM(I9:I18)</f>
        <v>0</v>
      </c>
      <c r="J19" s="41">
        <f>SUM(J9:J18)</f>
        <v>308538.29000000004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>
        <v>102.47</v>
      </c>
      <c r="H22" s="18">
        <v>16684.57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17205.849999999999</v>
      </c>
      <c r="G23" s="18"/>
      <c r="H23" s="18">
        <v>327.45</v>
      </c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14348.2</v>
      </c>
      <c r="G24" s="18"/>
      <c r="H24" s="18">
        <f>706.66+16465.33</f>
        <v>17171.990000000002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1721.05</v>
      </c>
      <c r="G28" s="18"/>
      <c r="H28" s="18">
        <f>12.91+129.18</f>
        <v>142.09</v>
      </c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>
        <v>470.85</v>
      </c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33275.1</v>
      </c>
      <c r="G32" s="41">
        <f>SUM(G22:G31)</f>
        <v>573.32000000000005</v>
      </c>
      <c r="H32" s="41">
        <f>SUM(H22:H31)</f>
        <v>34326.1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>
        <v>220.44</v>
      </c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50000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308538.29000000004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509.74</v>
      </c>
      <c r="G49" s="18"/>
      <c r="H49" s="18">
        <f>236.68+50887.98</f>
        <v>51124.66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170182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220691.74</v>
      </c>
      <c r="G51" s="41">
        <f>SUM(G35:G50)</f>
        <v>0</v>
      </c>
      <c r="H51" s="41">
        <f>SUM(H35:H50)</f>
        <v>51345.100000000006</v>
      </c>
      <c r="I51" s="41">
        <f>SUM(I35:I50)</f>
        <v>0</v>
      </c>
      <c r="J51" s="41">
        <f>SUM(J35:J50)</f>
        <v>308538.29000000004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253966.84</v>
      </c>
      <c r="G52" s="41">
        <f>G51+G32</f>
        <v>573.32000000000005</v>
      </c>
      <c r="H52" s="41">
        <f>H51+H32</f>
        <v>85671.200000000012</v>
      </c>
      <c r="I52" s="41">
        <f>I51+I32</f>
        <v>0</v>
      </c>
      <c r="J52" s="41">
        <f>J51+J32</f>
        <v>308538.29000000004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1347244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1347244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60086.27</v>
      </c>
      <c r="G63" s="24" t="s">
        <v>288</v>
      </c>
      <c r="H63" s="18">
        <f>15718.21+37842.98</f>
        <v>53561.19</v>
      </c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>
        <v>18643.54</v>
      </c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60086.27</v>
      </c>
      <c r="G79" s="45" t="s">
        <v>288</v>
      </c>
      <c r="H79" s="41">
        <f>SUM(H63:H78)</f>
        <v>72204.73000000001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1470.49</v>
      </c>
      <c r="G96" s="18"/>
      <c r="H96" s="18"/>
      <c r="I96" s="18"/>
      <c r="J96" s="18">
        <f>1020.87+1036.99</f>
        <v>2057.86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7990.55+2315.7+556.85+351.65</f>
        <v>11214.75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200</v>
      </c>
      <c r="G102" s="18"/>
      <c r="H102" s="18">
        <f>1500+2100</f>
        <v>3600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v>44657.51</v>
      </c>
      <c r="G105" s="18"/>
      <c r="H105" s="18">
        <v>20000</v>
      </c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2386.96+1840.91</f>
        <v>4227.87</v>
      </c>
      <c r="G110" s="18"/>
      <c r="H110" s="18">
        <v>3393</v>
      </c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50555.87</v>
      </c>
      <c r="G111" s="41">
        <f>SUM(G96:G110)</f>
        <v>11214.75</v>
      </c>
      <c r="H111" s="41">
        <f>SUM(H96:H110)</f>
        <v>26993</v>
      </c>
      <c r="I111" s="41">
        <f>SUM(I96:I110)</f>
        <v>0</v>
      </c>
      <c r="J111" s="41">
        <f>SUM(J96:J110)</f>
        <v>2057.86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1457886.1400000001</v>
      </c>
      <c r="G112" s="41">
        <f>G60+G111</f>
        <v>11214.75</v>
      </c>
      <c r="H112" s="41">
        <f>H60+H79+H94+H111</f>
        <v>99197.73000000001</v>
      </c>
      <c r="I112" s="41">
        <f>I60+I111</f>
        <v>0</v>
      </c>
      <c r="J112" s="41">
        <f>J60+J111</f>
        <v>2057.86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12170.64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430691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442861.64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221.03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221.03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442861.64</v>
      </c>
      <c r="G140" s="41">
        <f>G121+SUM(G136:G137)</f>
        <v>221.03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>
        <f>1.17+5763.8</f>
        <v>5764.97</v>
      </c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f>225.24+6286.09</f>
        <v>6511.33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265.9+6764.66+1102.68+1704.3+139326.7</f>
        <v>149164.24000000002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7657.66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f>389.3+10967.98</f>
        <v>11357.279999999999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17578.900000000001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17578.900000000001</v>
      </c>
      <c r="G162" s="41">
        <f>SUM(G150:G161)</f>
        <v>7657.66</v>
      </c>
      <c r="H162" s="41">
        <f>SUM(H150:H161)</f>
        <v>172797.82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17578.900000000001</v>
      </c>
      <c r="G169" s="41">
        <f>G147+G162+SUM(G163:G168)</f>
        <v>7657.66</v>
      </c>
      <c r="H169" s="41">
        <f>H147+H162+SUM(H163:H168)</f>
        <v>172797.82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18772.150000000001</v>
      </c>
      <c r="H179" s="18">
        <v>19000</v>
      </c>
      <c r="I179" s="18"/>
      <c r="J179" s="18">
        <f>10000+10000</f>
        <v>20000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18772.150000000001</v>
      </c>
      <c r="H183" s="41">
        <f>SUM(H179:H182)</f>
        <v>19000</v>
      </c>
      <c r="I183" s="41">
        <f>SUM(I179:I182)</f>
        <v>0</v>
      </c>
      <c r="J183" s="41">
        <f>SUM(J179:J182)</f>
        <v>20000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>
        <v>66892.149999999994</v>
      </c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66892.149999999994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18772.150000000001</v>
      </c>
      <c r="H192" s="41">
        <f>+H183+SUM(H188:H191)</f>
        <v>19000</v>
      </c>
      <c r="I192" s="41">
        <f>I177+I183+SUM(I188:I191)</f>
        <v>66892.149999999994</v>
      </c>
      <c r="J192" s="41">
        <f>J183</f>
        <v>20000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1918326.6800000002</v>
      </c>
      <c r="G193" s="47">
        <f>G112+G140+G169+G192</f>
        <v>37865.590000000004</v>
      </c>
      <c r="H193" s="47">
        <f>H112+H140+H169+H192</f>
        <v>290995.55000000005</v>
      </c>
      <c r="I193" s="47">
        <f>I112+I140+I169+I192</f>
        <v>66892.149999999994</v>
      </c>
      <c r="J193" s="47">
        <f>J112+J140+J192</f>
        <v>22057.86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330166.17</v>
      </c>
      <c r="G197" s="18">
        <v>113057.7</v>
      </c>
      <c r="H197" s="18">
        <v>9116.6200000000008</v>
      </c>
      <c r="I197" s="18">
        <v>9834.49</v>
      </c>
      <c r="J197" s="18">
        <v>13259.51</v>
      </c>
      <c r="K197" s="18"/>
      <c r="L197" s="19">
        <f>SUM(F197:K197)</f>
        <v>475434.49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87673.98</v>
      </c>
      <c r="G198" s="18">
        <v>38449.49</v>
      </c>
      <c r="H198" s="18">
        <v>8740.51</v>
      </c>
      <c r="I198" s="18">
        <v>296.89999999999998</v>
      </c>
      <c r="J198" s="18">
        <v>21.47</v>
      </c>
      <c r="K198" s="18"/>
      <c r="L198" s="19">
        <f>SUM(F198:K198)</f>
        <v>135182.35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f>1000+375</f>
        <v>1375</v>
      </c>
      <c r="G200" s="18">
        <f>188.2+30.94</f>
        <v>219.14</v>
      </c>
      <c r="H200" s="18"/>
      <c r="I200" s="18">
        <v>99.77</v>
      </c>
      <c r="J200" s="18"/>
      <c r="K200" s="18">
        <v>100</v>
      </c>
      <c r="L200" s="19">
        <f>SUM(F200:K200)</f>
        <v>1793.9099999999999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36387.52+26143.04+8250.06</f>
        <v>70780.62</v>
      </c>
      <c r="G202" s="18">
        <f>2917.96+7290.42+661.42</f>
        <v>10869.800000000001</v>
      </c>
      <c r="H202" s="18">
        <f>1910.5+5429.4+16190.16+22772+6532.75</f>
        <v>52834.81</v>
      </c>
      <c r="I202" s="18">
        <f>500+347.27+254.92+870.56</f>
        <v>1972.75</v>
      </c>
      <c r="J202" s="18"/>
      <c r="K202" s="18"/>
      <c r="L202" s="19">
        <f t="shared" ref="L202:L208" si="0">SUM(F202:K202)</f>
        <v>136457.97999999998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2622.6+180</f>
        <v>2802.6</v>
      </c>
      <c r="G203" s="18">
        <f>560.16+13.79</f>
        <v>573.94999999999993</v>
      </c>
      <c r="H203" s="18">
        <f>1390+13130</f>
        <v>14520</v>
      </c>
      <c r="I203" s="18">
        <v>2583.3200000000002</v>
      </c>
      <c r="J203" s="18"/>
      <c r="K203" s="18">
        <v>20</v>
      </c>
      <c r="L203" s="19">
        <f t="shared" si="0"/>
        <v>20499.87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f>2318+2000</f>
        <v>4318</v>
      </c>
      <c r="G204" s="18">
        <f>184.34+159</f>
        <v>343.34000000000003</v>
      </c>
      <c r="H204" s="18">
        <f>227.98+250+6050+560+250+122179</f>
        <v>129516.98</v>
      </c>
      <c r="I204" s="18">
        <v>731.07</v>
      </c>
      <c r="J204" s="18"/>
      <c r="K204" s="18">
        <v>288</v>
      </c>
      <c r="L204" s="19">
        <f t="shared" si="0"/>
        <v>135197.39000000001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101041.52</v>
      </c>
      <c r="G205" s="18">
        <v>51212.3</v>
      </c>
      <c r="H205" s="18">
        <v>7487.82</v>
      </c>
      <c r="I205" s="18">
        <f>1426.65+242.08</f>
        <v>1668.73</v>
      </c>
      <c r="J205" s="18"/>
      <c r="K205" s="18"/>
      <c r="L205" s="19">
        <f t="shared" si="0"/>
        <v>161410.37000000002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42724.39</v>
      </c>
      <c r="G207" s="18">
        <v>23272.09</v>
      </c>
      <c r="H207" s="18">
        <v>40637.17</v>
      </c>
      <c r="I207" s="18">
        <v>31315.09</v>
      </c>
      <c r="J207" s="18">
        <v>4781.1899999999996</v>
      </c>
      <c r="K207" s="18"/>
      <c r="L207" s="19">
        <f t="shared" si="0"/>
        <v>142729.93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f>49481+16491.4</f>
        <v>65972.399999999994</v>
      </c>
      <c r="I208" s="18"/>
      <c r="J208" s="18"/>
      <c r="K208" s="18"/>
      <c r="L208" s="19">
        <f t="shared" si="0"/>
        <v>65972.399999999994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>
        <v>269.8</v>
      </c>
      <c r="H209" s="18">
        <v>839</v>
      </c>
      <c r="I209" s="18"/>
      <c r="J209" s="18"/>
      <c r="K209" s="18"/>
      <c r="L209" s="19">
        <f>SUM(F209:K209)</f>
        <v>1108.8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640882.27999999991</v>
      </c>
      <c r="G211" s="41">
        <f t="shared" si="1"/>
        <v>238267.61000000002</v>
      </c>
      <c r="H211" s="41">
        <f t="shared" si="1"/>
        <v>329665.30999999994</v>
      </c>
      <c r="I211" s="41">
        <f t="shared" si="1"/>
        <v>48502.119999999995</v>
      </c>
      <c r="J211" s="41">
        <f t="shared" si="1"/>
        <v>18062.169999999998</v>
      </c>
      <c r="K211" s="41">
        <f t="shared" si="1"/>
        <v>408</v>
      </c>
      <c r="L211" s="41">
        <f t="shared" si="1"/>
        <v>1275787.49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>
        <v>63035.48</v>
      </c>
      <c r="I215" s="18"/>
      <c r="J215" s="18"/>
      <c r="K215" s="18"/>
      <c r="L215" s="19">
        <f>SUM(F215:K215)</f>
        <v>63035.48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>
        <v>84669.01</v>
      </c>
      <c r="I216" s="18"/>
      <c r="J216" s="18"/>
      <c r="K216" s="18"/>
      <c r="L216" s="19">
        <f>SUM(F216:K216)</f>
        <v>84669.01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16494</v>
      </c>
      <c r="I226" s="18"/>
      <c r="J226" s="18"/>
      <c r="K226" s="18"/>
      <c r="L226" s="19">
        <f t="shared" si="2"/>
        <v>16494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164198.49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164198.49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200075.69</v>
      </c>
      <c r="I233" s="18"/>
      <c r="J233" s="18"/>
      <c r="K233" s="18"/>
      <c r="L233" s="19">
        <f>SUM(F233:K233)</f>
        <v>200075.69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98008.37</v>
      </c>
      <c r="I234" s="18"/>
      <c r="J234" s="18"/>
      <c r="K234" s="18"/>
      <c r="L234" s="19">
        <f>SUM(F234:K234)</f>
        <v>98008.37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16494</v>
      </c>
      <c r="I244" s="18"/>
      <c r="J244" s="18"/>
      <c r="K244" s="18"/>
      <c r="L244" s="19">
        <f t="shared" si="4"/>
        <v>16494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314578.06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314578.06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640882.27999999991</v>
      </c>
      <c r="G257" s="41">
        <f t="shared" si="8"/>
        <v>238267.61000000002</v>
      </c>
      <c r="H257" s="41">
        <f t="shared" si="8"/>
        <v>808441.85999999987</v>
      </c>
      <c r="I257" s="41">
        <f t="shared" si="8"/>
        <v>48502.119999999995</v>
      </c>
      <c r="J257" s="41">
        <f t="shared" si="8"/>
        <v>18062.169999999998</v>
      </c>
      <c r="K257" s="41">
        <f t="shared" si="8"/>
        <v>408</v>
      </c>
      <c r="L257" s="41">
        <f t="shared" si="8"/>
        <v>1754564.04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18772.150000000001</v>
      </c>
      <c r="L263" s="19">
        <f>SUM(F263:K263)</f>
        <v>18772.150000000001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>
        <v>19000</v>
      </c>
      <c r="L264" s="19">
        <f t="shared" ref="L264:L270" si="9">SUM(F264:K264)</f>
        <v>19000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20000</v>
      </c>
      <c r="L266" s="19">
        <f t="shared" si="9"/>
        <v>20000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57772.15</v>
      </c>
      <c r="L270" s="41">
        <f t="shared" si="9"/>
        <v>57772.15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640882.27999999991</v>
      </c>
      <c r="G271" s="42">
        <f t="shared" si="11"/>
        <v>238267.61000000002</v>
      </c>
      <c r="H271" s="42">
        <f t="shared" si="11"/>
        <v>808441.85999999987</v>
      </c>
      <c r="I271" s="42">
        <f t="shared" si="11"/>
        <v>48502.119999999995</v>
      </c>
      <c r="J271" s="42">
        <f t="shared" si="11"/>
        <v>18062.169999999998</v>
      </c>
      <c r="K271" s="42">
        <f t="shared" si="11"/>
        <v>58180.15</v>
      </c>
      <c r="L271" s="42">
        <f t="shared" si="11"/>
        <v>1812336.19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4822.13+320+16884+7530+296+16716+480+5637+192+6767+189.5+1050+33090.31+707.5</f>
        <v>94681.44</v>
      </c>
      <c r="G276" s="18">
        <f>368.9+1882.3+2.02+96.4+1709.98+4.65+81.93+532.19+32.59+2665.96+139.1</f>
        <v>7516.0200000000013</v>
      </c>
      <c r="H276" s="18"/>
      <c r="I276" s="18">
        <f>794.35+11+1.17+3958.71+560+571.75+347.22+279.22+1481.12+11780+260+22963.84</f>
        <v>43008.380000000005</v>
      </c>
      <c r="J276" s="18">
        <f>567.76+291.28+218.32+4190.07+8696.63</f>
        <v>13964.059999999998</v>
      </c>
      <c r="K276" s="18">
        <v>176</v>
      </c>
      <c r="L276" s="19">
        <f>SUM(F276:K276)</f>
        <v>159345.90000000002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9625.6</v>
      </c>
      <c r="G277" s="18">
        <f>736.36+34.23</f>
        <v>770.59</v>
      </c>
      <c r="H277" s="18"/>
      <c r="I277" s="18"/>
      <c r="J277" s="18"/>
      <c r="K277" s="18"/>
      <c r="L277" s="19">
        <f>SUM(F277:K277)</f>
        <v>10396.19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f>3378+16646.65</f>
        <v>20024.650000000001</v>
      </c>
      <c r="G279" s="18">
        <f>1705.69+104.3</f>
        <v>1809.99</v>
      </c>
      <c r="H279" s="18">
        <f>9745+3545</f>
        <v>13290</v>
      </c>
      <c r="I279" s="18">
        <v>4430.74</v>
      </c>
      <c r="J279" s="18"/>
      <c r="K279" s="18">
        <f>1143+4521.45</f>
        <v>5664.45</v>
      </c>
      <c r="L279" s="19">
        <f>SUM(F279:K279)</f>
        <v>45219.829999999994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f>380</f>
        <v>380</v>
      </c>
      <c r="G281" s="18">
        <f>29.07+1.37</f>
        <v>30.44</v>
      </c>
      <c r="H281" s="18"/>
      <c r="I281" s="18">
        <f>589.21</f>
        <v>589.21</v>
      </c>
      <c r="J281" s="18"/>
      <c r="K281" s="18"/>
      <c r="L281" s="19">
        <f t="shared" ref="L281:L287" si="12">SUM(F281:K281)</f>
        <v>999.65000000000009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f>5940</f>
        <v>5940</v>
      </c>
      <c r="G282" s="18">
        <f>454.41+29.57</f>
        <v>483.98</v>
      </c>
      <c r="H282" s="18">
        <f>255+415.84+165+703.97+109.65+865.35</f>
        <v>2514.81</v>
      </c>
      <c r="I282" s="18">
        <f>147.71</f>
        <v>147.71</v>
      </c>
      <c r="J282" s="18"/>
      <c r="K282" s="18"/>
      <c r="L282" s="19">
        <f t="shared" si="12"/>
        <v>9086.4999999999982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f>15553.86+38080.02</f>
        <v>53633.88</v>
      </c>
      <c r="G283" s="18">
        <f>5319.76+188.64+24.41+0.01+54.53+0.01+1106.12+1737.45+68.96+13024.24+461.52+59.59-0.01+133.12+2707.83+4253.58+168.64+0.16</f>
        <v>29308.560000000001</v>
      </c>
      <c r="H283" s="18">
        <f>351.77+24.01+125.64+900.03+861.25+58.79+307.61+1642.34</f>
        <v>4271.4399999999996</v>
      </c>
      <c r="I283" s="18">
        <f>500+500</f>
        <v>1000</v>
      </c>
      <c r="J283" s="18"/>
      <c r="K283" s="18">
        <f>409+638.75</f>
        <v>1047.75</v>
      </c>
      <c r="L283" s="19">
        <f t="shared" si="12"/>
        <v>89261.63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>
        <v>4052.33</v>
      </c>
      <c r="L285" s="19">
        <f t="shared" si="12"/>
        <v>4052.33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f>1162.5</f>
        <v>1162.5</v>
      </c>
      <c r="I287" s="18"/>
      <c r="J287" s="18"/>
      <c r="K287" s="18"/>
      <c r="L287" s="19">
        <f t="shared" si="12"/>
        <v>1162.5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>
        <f>1539</f>
        <v>1539</v>
      </c>
      <c r="I288" s="18"/>
      <c r="J288" s="18"/>
      <c r="K288" s="18"/>
      <c r="L288" s="19">
        <f>SUM(F288:K288)</f>
        <v>1539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184285.57</v>
      </c>
      <c r="G290" s="42">
        <f t="shared" si="13"/>
        <v>39919.58</v>
      </c>
      <c r="H290" s="42">
        <f t="shared" si="13"/>
        <v>22777.75</v>
      </c>
      <c r="I290" s="42">
        <f t="shared" si="13"/>
        <v>49176.04</v>
      </c>
      <c r="J290" s="42">
        <f t="shared" si="13"/>
        <v>13964.059999999998</v>
      </c>
      <c r="K290" s="42">
        <f t="shared" si="13"/>
        <v>10940.529999999999</v>
      </c>
      <c r="L290" s="41">
        <f t="shared" si="13"/>
        <v>321063.53000000003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184285.57</v>
      </c>
      <c r="G338" s="41">
        <f t="shared" si="20"/>
        <v>39919.58</v>
      </c>
      <c r="H338" s="41">
        <f t="shared" si="20"/>
        <v>22777.75</v>
      </c>
      <c r="I338" s="41">
        <f t="shared" si="20"/>
        <v>49176.04</v>
      </c>
      <c r="J338" s="41">
        <f t="shared" si="20"/>
        <v>13964.059999999998</v>
      </c>
      <c r="K338" s="41">
        <f t="shared" si="20"/>
        <v>10940.529999999999</v>
      </c>
      <c r="L338" s="41">
        <f t="shared" si="20"/>
        <v>321063.53000000003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>
        <v>47127.65</v>
      </c>
      <c r="L350" s="19">
        <f t="shared" si="21"/>
        <v>47127.65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47127.65</v>
      </c>
      <c r="L351" s="41">
        <f>SUM(L341:L350)</f>
        <v>47127.65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184285.57</v>
      </c>
      <c r="G352" s="41">
        <f>G338</f>
        <v>39919.58</v>
      </c>
      <c r="H352" s="41">
        <f>H338</f>
        <v>22777.75</v>
      </c>
      <c r="I352" s="41">
        <f>I338</f>
        <v>49176.04</v>
      </c>
      <c r="J352" s="41">
        <f>J338</f>
        <v>13964.059999999998</v>
      </c>
      <c r="K352" s="47">
        <f>K338+K351</f>
        <v>58068.18</v>
      </c>
      <c r="L352" s="41">
        <f>L338+L351</f>
        <v>368191.18000000005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17704.05</v>
      </c>
      <c r="G358" s="18">
        <f>1354.4+72.63</f>
        <v>1427.0300000000002</v>
      </c>
      <c r="H358" s="18">
        <f>4825+563.03+479.52</f>
        <v>5867.5499999999993</v>
      </c>
      <c r="I358" s="18">
        <f>458.58+11873.38+210</f>
        <v>12541.96</v>
      </c>
      <c r="J358" s="18"/>
      <c r="K358" s="18">
        <v>325</v>
      </c>
      <c r="L358" s="13">
        <f>SUM(F358:K358)</f>
        <v>37865.589999999997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17704.05</v>
      </c>
      <c r="G362" s="47">
        <f t="shared" si="22"/>
        <v>1427.0300000000002</v>
      </c>
      <c r="H362" s="47">
        <f t="shared" si="22"/>
        <v>5867.5499999999993</v>
      </c>
      <c r="I362" s="47">
        <f t="shared" si="22"/>
        <v>12541.96</v>
      </c>
      <c r="J362" s="47">
        <f t="shared" si="22"/>
        <v>0</v>
      </c>
      <c r="K362" s="47">
        <f t="shared" si="22"/>
        <v>325</v>
      </c>
      <c r="L362" s="47">
        <f t="shared" si="22"/>
        <v>37865.589999999997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f>11873.38+210</f>
        <v>12083.38</v>
      </c>
      <c r="G367" s="18"/>
      <c r="H367" s="18"/>
      <c r="I367" s="56">
        <f>SUM(F367:H367)</f>
        <v>12083.38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458.58</v>
      </c>
      <c r="G368" s="63"/>
      <c r="H368" s="63"/>
      <c r="I368" s="56">
        <f>SUM(F368:H368)</f>
        <v>458.58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12541.96</v>
      </c>
      <c r="G369" s="47">
        <f>SUM(G367:G368)</f>
        <v>0</v>
      </c>
      <c r="H369" s="47">
        <f>SUM(H367:H368)</f>
        <v>0</v>
      </c>
      <c r="I369" s="47">
        <f>SUM(I367:I368)</f>
        <v>12541.96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>
        <v>66892.149999999994</v>
      </c>
      <c r="I375" s="18"/>
      <c r="J375" s="18"/>
      <c r="K375" s="18"/>
      <c r="L375" s="13">
        <f t="shared" ref="L375:L381" si="23">SUM(F375:K375)</f>
        <v>66892.149999999994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66892.149999999994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66892.149999999994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>
        <v>10000</v>
      </c>
      <c r="H389" s="18">
        <v>1036.99</v>
      </c>
      <c r="I389" s="18"/>
      <c r="J389" s="24" t="s">
        <v>288</v>
      </c>
      <c r="K389" s="24" t="s">
        <v>288</v>
      </c>
      <c r="L389" s="56">
        <f t="shared" si="25"/>
        <v>11036.99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10000</v>
      </c>
      <c r="H393" s="139">
        <f>SUM(H387:H392)</f>
        <v>1036.99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11036.99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>
        <v>10000</v>
      </c>
      <c r="H398" s="18">
        <v>1020.87</v>
      </c>
      <c r="I398" s="18"/>
      <c r="J398" s="24" t="s">
        <v>288</v>
      </c>
      <c r="K398" s="24" t="s">
        <v>288</v>
      </c>
      <c r="L398" s="56">
        <f t="shared" si="26"/>
        <v>11020.87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10000</v>
      </c>
      <c r="H401" s="47">
        <f>SUM(H395:H400)</f>
        <v>1020.87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11020.87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20000</v>
      </c>
      <c r="H408" s="47">
        <f>H393+H401+H407</f>
        <v>2057.86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22057.86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155461.84</v>
      </c>
      <c r="G440" s="18">
        <v>153076.45000000001</v>
      </c>
      <c r="H440" s="18"/>
      <c r="I440" s="56">
        <f t="shared" si="33"/>
        <v>308538.29000000004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155461.84</v>
      </c>
      <c r="G446" s="13">
        <f>SUM(G439:G445)</f>
        <v>153076.45000000001</v>
      </c>
      <c r="H446" s="13">
        <f>SUM(H439:H445)</f>
        <v>0</v>
      </c>
      <c r="I446" s="13">
        <f>SUM(I439:I445)</f>
        <v>308538.29000000004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155461.84</v>
      </c>
      <c r="G459" s="18">
        <v>153076.45000000001</v>
      </c>
      <c r="H459" s="18"/>
      <c r="I459" s="56">
        <f t="shared" si="34"/>
        <v>308538.29000000004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155461.84</v>
      </c>
      <c r="G460" s="83">
        <f>SUM(G454:G459)</f>
        <v>153076.45000000001</v>
      </c>
      <c r="H460" s="83">
        <f>SUM(H454:H459)</f>
        <v>0</v>
      </c>
      <c r="I460" s="83">
        <f>SUM(I454:I459)</f>
        <v>308538.29000000004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155461.84</v>
      </c>
      <c r="G461" s="42">
        <f>G452+G460</f>
        <v>153076.45000000001</v>
      </c>
      <c r="H461" s="42">
        <f>H452+H460</f>
        <v>0</v>
      </c>
      <c r="I461" s="42">
        <f>I452+I460</f>
        <v>308538.29000000004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114701.25</v>
      </c>
      <c r="G465" s="18">
        <v>0</v>
      </c>
      <c r="H465" s="18">
        <v>128540.73</v>
      </c>
      <c r="I465" s="18">
        <v>0</v>
      </c>
      <c r="J465" s="18">
        <v>286480.43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1918326.68</v>
      </c>
      <c r="G468" s="18">
        <v>37865.589999999997</v>
      </c>
      <c r="H468" s="18">
        <v>290995.55</v>
      </c>
      <c r="I468" s="18">
        <v>66892.149999999994</v>
      </c>
      <c r="J468" s="18">
        <v>22057.86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1918326.68</v>
      </c>
      <c r="G470" s="53">
        <f>SUM(G468:G469)</f>
        <v>37865.589999999997</v>
      </c>
      <c r="H470" s="53">
        <f>SUM(H468:H469)</f>
        <v>290995.55</v>
      </c>
      <c r="I470" s="53">
        <f>SUM(I468:I469)</f>
        <v>66892.149999999994</v>
      </c>
      <c r="J470" s="53">
        <f>SUM(J468:J469)</f>
        <v>22057.86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1812336.19</v>
      </c>
      <c r="G472" s="18">
        <f>L362</f>
        <v>37865.589999999997</v>
      </c>
      <c r="H472" s="18">
        <f>L352</f>
        <v>368191.18000000005</v>
      </c>
      <c r="I472" s="18">
        <f>L382</f>
        <v>66892.149999999994</v>
      </c>
      <c r="J472" s="18">
        <f>L434</f>
        <v>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1812336.19</v>
      </c>
      <c r="G474" s="53">
        <f>SUM(G472:G473)</f>
        <v>37865.589999999997</v>
      </c>
      <c r="H474" s="53">
        <f>SUM(H472:H473)</f>
        <v>368191.18000000005</v>
      </c>
      <c r="I474" s="53">
        <f>SUM(I472:I473)</f>
        <v>66892.149999999994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220691.74</v>
      </c>
      <c r="G476" s="53">
        <f>(G465+G470)- G474</f>
        <v>0</v>
      </c>
      <c r="H476" s="53">
        <f>(H465+H470)- H474</f>
        <v>51345.099999999919</v>
      </c>
      <c r="I476" s="53">
        <f>(I465+I470)- I474</f>
        <v>0</v>
      </c>
      <c r="J476" s="53">
        <f>(J465+J470)- J474</f>
        <v>308538.28999999998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41508.5+46165.48+9625.6</f>
        <v>97299.580000000016</v>
      </c>
      <c r="G521" s="18">
        <f>25194.99+1400+162.82+147.38+6378.31+4826.34+339.65+736.36+34.23</f>
        <v>39220.080000000002</v>
      </c>
      <c r="H521" s="18">
        <v>8740.51</v>
      </c>
      <c r="I521" s="18">
        <f>147+149.9</f>
        <v>296.89999999999998</v>
      </c>
      <c r="J521" s="18">
        <v>21.47</v>
      </c>
      <c r="K521" s="18"/>
      <c r="L521" s="88">
        <f>SUM(F521:K521)</f>
        <v>145578.54000000004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>
        <v>84669.01</v>
      </c>
      <c r="I522" s="18"/>
      <c r="J522" s="18"/>
      <c r="K522" s="18"/>
      <c r="L522" s="88">
        <f>SUM(F522:K522)</f>
        <v>84669.01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98008.37</v>
      </c>
      <c r="I523" s="18"/>
      <c r="J523" s="18"/>
      <c r="K523" s="18"/>
      <c r="L523" s="88">
        <f>SUM(F523:K523)</f>
        <v>98008.37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97299.580000000016</v>
      </c>
      <c r="G524" s="108">
        <f t="shared" ref="G524:L524" si="36">SUM(G521:G523)</f>
        <v>39220.080000000002</v>
      </c>
      <c r="H524" s="108">
        <f t="shared" si="36"/>
        <v>191417.88999999998</v>
      </c>
      <c r="I524" s="108">
        <f t="shared" si="36"/>
        <v>296.89999999999998</v>
      </c>
      <c r="J524" s="108">
        <f t="shared" si="36"/>
        <v>21.47</v>
      </c>
      <c r="K524" s="108">
        <f t="shared" si="36"/>
        <v>0</v>
      </c>
      <c r="L524" s="89">
        <f t="shared" si="36"/>
        <v>328255.92000000004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8250.06</f>
        <v>8250.06</v>
      </c>
      <c r="G526" s="18">
        <f>631.02+30.4</f>
        <v>661.42</v>
      </c>
      <c r="H526" s="18">
        <f>1540+16190.16+22772+6532.75</f>
        <v>47034.91</v>
      </c>
      <c r="I526" s="18">
        <f>254.92+870.56</f>
        <v>1125.48</v>
      </c>
      <c r="J526" s="18"/>
      <c r="K526" s="18"/>
      <c r="L526" s="88">
        <f>SUM(F526:K526)</f>
        <v>57071.87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8250.06</v>
      </c>
      <c r="G529" s="89">
        <f t="shared" ref="G529:L529" si="37">SUM(G526:G528)</f>
        <v>661.42</v>
      </c>
      <c r="H529" s="89">
        <f t="shared" si="37"/>
        <v>47034.91</v>
      </c>
      <c r="I529" s="89">
        <f t="shared" si="37"/>
        <v>1125.48</v>
      </c>
      <c r="J529" s="89">
        <f t="shared" si="37"/>
        <v>0</v>
      </c>
      <c r="K529" s="89">
        <f t="shared" si="37"/>
        <v>0</v>
      </c>
      <c r="L529" s="89">
        <f t="shared" si="37"/>
        <v>57071.87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>
        <v>10967</v>
      </c>
      <c r="I531" s="18"/>
      <c r="J531" s="18"/>
      <c r="K531" s="18">
        <v>961.09</v>
      </c>
      <c r="L531" s="88">
        <f>SUM(F531:K531)</f>
        <v>11928.09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10967</v>
      </c>
      <c r="I534" s="89">
        <f t="shared" si="38"/>
        <v>0</v>
      </c>
      <c r="J534" s="89">
        <f t="shared" si="38"/>
        <v>0</v>
      </c>
      <c r="K534" s="89">
        <f t="shared" si="38"/>
        <v>961.09</v>
      </c>
      <c r="L534" s="89">
        <f t="shared" si="38"/>
        <v>11928.09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105549.64000000001</v>
      </c>
      <c r="G545" s="89">
        <f t="shared" ref="G545:L545" si="41">G524+G529+G534+G539+G544</f>
        <v>39881.5</v>
      </c>
      <c r="H545" s="89">
        <f t="shared" si="41"/>
        <v>249419.8</v>
      </c>
      <c r="I545" s="89">
        <f t="shared" si="41"/>
        <v>1422.38</v>
      </c>
      <c r="J545" s="89">
        <f t="shared" si="41"/>
        <v>21.47</v>
      </c>
      <c r="K545" s="89">
        <f t="shared" si="41"/>
        <v>961.09</v>
      </c>
      <c r="L545" s="89">
        <f t="shared" si="41"/>
        <v>397255.88000000006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145578.54000000004</v>
      </c>
      <c r="G549" s="87">
        <f>L526</f>
        <v>57071.87</v>
      </c>
      <c r="H549" s="87">
        <f>L531</f>
        <v>11928.09</v>
      </c>
      <c r="I549" s="87">
        <f>L536</f>
        <v>0</v>
      </c>
      <c r="J549" s="87">
        <f>L541</f>
        <v>0</v>
      </c>
      <c r="K549" s="87">
        <f>SUM(F549:J549)</f>
        <v>214578.50000000003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84669.01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84669.01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98008.37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98008.37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328255.92000000004</v>
      </c>
      <c r="G552" s="89">
        <f t="shared" si="42"/>
        <v>57071.87</v>
      </c>
      <c r="H552" s="89">
        <f t="shared" si="42"/>
        <v>11928.09</v>
      </c>
      <c r="I552" s="89">
        <f t="shared" si="42"/>
        <v>0</v>
      </c>
      <c r="J552" s="89">
        <f t="shared" si="42"/>
        <v>0</v>
      </c>
      <c r="K552" s="89">
        <f t="shared" si="42"/>
        <v>397255.88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>
        <v>63035.48</v>
      </c>
      <c r="H575" s="18">
        <v>200075.69</v>
      </c>
      <c r="I575" s="87">
        <f>SUM(F575:H575)</f>
        <v>263111.17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>
        <v>84669.01</v>
      </c>
      <c r="H579" s="18">
        <v>94358.37</v>
      </c>
      <c r="I579" s="87">
        <f t="shared" si="47"/>
        <v>179027.38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>
        <v>3650</v>
      </c>
      <c r="I582" s="87">
        <f t="shared" si="47"/>
        <v>3650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f>49481+16491.4</f>
        <v>65972.399999999994</v>
      </c>
      <c r="I591" s="18">
        <v>16494</v>
      </c>
      <c r="J591" s="18">
        <v>16494</v>
      </c>
      <c r="K591" s="104">
        <f t="shared" ref="K591:K597" si="48">SUM(H591:J591)</f>
        <v>98960.4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65972.399999999994</v>
      </c>
      <c r="I598" s="108">
        <f>SUM(I591:I597)</f>
        <v>16494</v>
      </c>
      <c r="J598" s="108">
        <f>SUM(J591:J597)</f>
        <v>16494</v>
      </c>
      <c r="K598" s="108">
        <f>SUM(K591:K597)</f>
        <v>98960.4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32026.23</v>
      </c>
      <c r="I604" s="18"/>
      <c r="J604" s="18"/>
      <c r="K604" s="104">
        <f>SUM(H604:J604)</f>
        <v>32026.23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32026.23</v>
      </c>
      <c r="I605" s="108">
        <f>SUM(I602:I604)</f>
        <v>0</v>
      </c>
      <c r="J605" s="108">
        <f>SUM(J602:J604)</f>
        <v>0</v>
      </c>
      <c r="K605" s="108">
        <f>SUM(K602:K604)</f>
        <v>32026.23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f>375+3378+16646.65</f>
        <v>20399.650000000001</v>
      </c>
      <c r="G611" s="18">
        <f>28.69+2.25+1705.69+104.3</f>
        <v>1840.93</v>
      </c>
      <c r="H611" s="18">
        <v>3545</v>
      </c>
      <c r="I611" s="18">
        <v>4430.74</v>
      </c>
      <c r="J611" s="18"/>
      <c r="K611" s="18">
        <f>1143+4521.45</f>
        <v>5664.45</v>
      </c>
      <c r="L611" s="88">
        <f>SUM(F611:K611)</f>
        <v>35880.769999999997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20399.650000000001</v>
      </c>
      <c r="G614" s="108">
        <f t="shared" si="49"/>
        <v>1840.93</v>
      </c>
      <c r="H614" s="108">
        <f t="shared" si="49"/>
        <v>3545</v>
      </c>
      <c r="I614" s="108">
        <f t="shared" si="49"/>
        <v>4430.74</v>
      </c>
      <c r="J614" s="108">
        <f t="shared" si="49"/>
        <v>0</v>
      </c>
      <c r="K614" s="108">
        <f t="shared" si="49"/>
        <v>5664.45</v>
      </c>
      <c r="L614" s="89">
        <f t="shared" si="49"/>
        <v>35880.769999999997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253966.84</v>
      </c>
      <c r="H617" s="109">
        <f>SUM(F52)</f>
        <v>253966.84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573.32000000000005</v>
      </c>
      <c r="H618" s="109">
        <f>SUM(G52)</f>
        <v>573.32000000000005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85671.199999999983</v>
      </c>
      <c r="H619" s="109">
        <f>SUM(H52)</f>
        <v>85671.200000000012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308538.29000000004</v>
      </c>
      <c r="H621" s="109">
        <f>SUM(J52)</f>
        <v>308538.29000000004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220691.74</v>
      </c>
      <c r="H622" s="109">
        <f>F476</f>
        <v>220691.74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51345.100000000006</v>
      </c>
      <c r="H624" s="109">
        <f>H476</f>
        <v>51345.099999999919</v>
      </c>
      <c r="I624" s="121" t="s">
        <v>103</v>
      </c>
      <c r="J624" s="109">
        <f t="shared" si="50"/>
        <v>8.7311491370201111E-11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308538.29000000004</v>
      </c>
      <c r="H626" s="109">
        <f>J476</f>
        <v>308538.28999999998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1918326.6800000002</v>
      </c>
      <c r="H627" s="104">
        <f>SUM(F468)</f>
        <v>1918326.68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37865.590000000004</v>
      </c>
      <c r="H628" s="104">
        <f>SUM(G468)</f>
        <v>37865.589999999997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290995.55000000005</v>
      </c>
      <c r="H629" s="104">
        <f>SUM(H468)</f>
        <v>290995.55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66892.149999999994</v>
      </c>
      <c r="H630" s="104">
        <f>SUM(I468)</f>
        <v>66892.149999999994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22057.86</v>
      </c>
      <c r="H631" s="104">
        <f>SUM(J468)</f>
        <v>22057.86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1812336.19</v>
      </c>
      <c r="H632" s="104">
        <f>SUM(F472)</f>
        <v>1812336.19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368191.18000000005</v>
      </c>
      <c r="H633" s="104">
        <f>SUM(H472)</f>
        <v>368191.18000000005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12541.96</v>
      </c>
      <c r="H634" s="104">
        <f>I369</f>
        <v>12541.96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37865.589999999997</v>
      </c>
      <c r="H635" s="104">
        <f>SUM(G472)</f>
        <v>37865.589999999997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66892.149999999994</v>
      </c>
      <c r="H636" s="104">
        <f>SUM(I472)</f>
        <v>66892.149999999994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22057.86</v>
      </c>
      <c r="H637" s="164">
        <f>SUM(J468)</f>
        <v>22057.86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155461.84</v>
      </c>
      <c r="H639" s="104">
        <f>SUM(F461)</f>
        <v>155461.84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153076.45000000001</v>
      </c>
      <c r="H640" s="104">
        <f>SUM(G461)</f>
        <v>153076.45000000001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308538.29000000004</v>
      </c>
      <c r="H642" s="104">
        <f>SUM(I461)</f>
        <v>308538.29000000004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2057.86</v>
      </c>
      <c r="H644" s="104">
        <f>H408</f>
        <v>2057.86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20000</v>
      </c>
      <c r="H645" s="104">
        <f>G408</f>
        <v>20000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22057.86</v>
      </c>
      <c r="H646" s="104">
        <f>L408</f>
        <v>22057.86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98960.4</v>
      </c>
      <c r="H647" s="104">
        <f>L208+L226+L244</f>
        <v>98960.4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32026.23</v>
      </c>
      <c r="H648" s="104">
        <f>(J257+J338)-(J255+J336)</f>
        <v>32026.229999999996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65972.399999999994</v>
      </c>
      <c r="H649" s="104">
        <f>H598</f>
        <v>65972.399999999994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16494</v>
      </c>
      <c r="H650" s="104">
        <f>I598</f>
        <v>16494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16494</v>
      </c>
      <c r="H651" s="104">
        <f>J598</f>
        <v>16494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18772.150000000001</v>
      </c>
      <c r="H652" s="104">
        <f>K263+K345</f>
        <v>18772.150000000001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19000</v>
      </c>
      <c r="H653" s="104">
        <f>K264</f>
        <v>19000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20000</v>
      </c>
      <c r="H655" s="104">
        <f>K266+K347</f>
        <v>20000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1634716.61</v>
      </c>
      <c r="G660" s="19">
        <f>(L229+L309+L359)</f>
        <v>164198.49</v>
      </c>
      <c r="H660" s="19">
        <f>(L247+L328+L360)</f>
        <v>314578.06</v>
      </c>
      <c r="I660" s="19">
        <f>SUM(F660:H660)</f>
        <v>2113493.16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11214.75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11214.75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67134.899999999994</v>
      </c>
      <c r="G662" s="19">
        <f>(L226+L306)-(J226+J306)</f>
        <v>16494</v>
      </c>
      <c r="H662" s="19">
        <f>(L244+L325)-(J244+J325)</f>
        <v>16494</v>
      </c>
      <c r="I662" s="19">
        <f>SUM(F662:H662)</f>
        <v>100122.9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67907</v>
      </c>
      <c r="G663" s="199">
        <f>SUM(G575:G587)+SUM(I602:I604)+L612</f>
        <v>147704.49</v>
      </c>
      <c r="H663" s="199">
        <f>SUM(H575:H587)+SUM(J602:J604)+L613</f>
        <v>298084.06</v>
      </c>
      <c r="I663" s="19">
        <f>SUM(F663:H663)</f>
        <v>513695.55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1488459.9600000002</v>
      </c>
      <c r="G664" s="19">
        <f>G660-SUM(G661:G663)</f>
        <v>0</v>
      </c>
      <c r="H664" s="19">
        <f>H660-SUM(H661:H663)</f>
        <v>0</v>
      </c>
      <c r="I664" s="19">
        <f>I660-SUM(I661:I663)</f>
        <v>1488459.9600000002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54.4</v>
      </c>
      <c r="G665" s="248"/>
      <c r="H665" s="248"/>
      <c r="I665" s="19">
        <f>SUM(F665:H665)</f>
        <v>54.4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27361.4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27361.4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27361.4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27361.4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HARRISVILLE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424847.61</v>
      </c>
      <c r="C9" s="229">
        <f>'DOE25'!G197+'DOE25'!G215+'DOE25'!G233+'DOE25'!G276+'DOE25'!G295+'DOE25'!G314</f>
        <v>120573.72</v>
      </c>
    </row>
    <row r="10" spans="1:3" x14ac:dyDescent="0.2">
      <c r="A10" t="s">
        <v>778</v>
      </c>
      <c r="B10" s="240">
        <v>366521.17</v>
      </c>
      <c r="C10" s="240">
        <v>104020.41</v>
      </c>
    </row>
    <row r="11" spans="1:3" x14ac:dyDescent="0.2">
      <c r="A11" t="s">
        <v>779</v>
      </c>
      <c r="B11" s="240">
        <v>58326.44</v>
      </c>
      <c r="C11" s="240">
        <v>16553.310000000001</v>
      </c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424847.61</v>
      </c>
      <c r="C13" s="231">
        <f>SUM(C10:C12)</f>
        <v>120573.72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97299.58</v>
      </c>
      <c r="C18" s="229">
        <f>'DOE25'!G198+'DOE25'!G216+'DOE25'!G234+'DOE25'!G277+'DOE25'!G296+'DOE25'!G315</f>
        <v>39220.079999999994</v>
      </c>
    </row>
    <row r="19" spans="1:3" x14ac:dyDescent="0.2">
      <c r="A19" t="s">
        <v>778</v>
      </c>
      <c r="B19" s="240">
        <v>41508.5</v>
      </c>
      <c r="C19" s="240">
        <v>16731.490000000002</v>
      </c>
    </row>
    <row r="20" spans="1:3" x14ac:dyDescent="0.2">
      <c r="A20" t="s">
        <v>779</v>
      </c>
      <c r="B20" s="240">
        <v>55791.08</v>
      </c>
      <c r="C20" s="240">
        <v>22488.59</v>
      </c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97299.58</v>
      </c>
      <c r="C22" s="231">
        <f>SUM(C19:C21)</f>
        <v>39220.080000000002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21399.65</v>
      </c>
      <c r="C36" s="235">
        <f>'DOE25'!G200+'DOE25'!G218+'DOE25'!G236+'DOE25'!G279+'DOE25'!G298+'DOE25'!G317</f>
        <v>2029.13</v>
      </c>
    </row>
    <row r="37" spans="1:3" x14ac:dyDescent="0.2">
      <c r="A37" t="s">
        <v>778</v>
      </c>
      <c r="B37" s="240">
        <v>4753</v>
      </c>
      <c r="C37" s="240">
        <v>450.68</v>
      </c>
    </row>
    <row r="38" spans="1:3" x14ac:dyDescent="0.2">
      <c r="A38" t="s">
        <v>779</v>
      </c>
      <c r="B38" s="240">
        <v>16646.650000000001</v>
      </c>
      <c r="C38" s="240">
        <v>1578.45</v>
      </c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21399.65</v>
      </c>
      <c r="C40" s="231">
        <f>SUM(C37:C39)</f>
        <v>2029.13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HARRISVILLE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1058199.3</v>
      </c>
      <c r="D5" s="20">
        <f>SUM('DOE25'!L197:L200)+SUM('DOE25'!L215:L218)+SUM('DOE25'!L233:L236)-F5-G5</f>
        <v>1044818.3200000001</v>
      </c>
      <c r="E5" s="243"/>
      <c r="F5" s="255">
        <f>SUM('DOE25'!J197:J200)+SUM('DOE25'!J215:J218)+SUM('DOE25'!J233:J236)</f>
        <v>13280.98</v>
      </c>
      <c r="G5" s="53">
        <f>SUM('DOE25'!K197:K200)+SUM('DOE25'!K215:K218)+SUM('DOE25'!K233:K236)</f>
        <v>100</v>
      </c>
      <c r="H5" s="259"/>
    </row>
    <row r="6" spans="1:9" x14ac:dyDescent="0.2">
      <c r="A6" s="32">
        <v>2100</v>
      </c>
      <c r="B6" t="s">
        <v>800</v>
      </c>
      <c r="C6" s="245">
        <f t="shared" si="0"/>
        <v>136457.97999999998</v>
      </c>
      <c r="D6" s="20">
        <f>'DOE25'!L202+'DOE25'!L220+'DOE25'!L238-F6-G6</f>
        <v>136457.97999999998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20499.87</v>
      </c>
      <c r="D7" s="20">
        <f>'DOE25'!L203+'DOE25'!L221+'DOE25'!L239-F7-G7</f>
        <v>20479.87</v>
      </c>
      <c r="E7" s="243"/>
      <c r="F7" s="255">
        <f>'DOE25'!J203+'DOE25'!J221+'DOE25'!J239</f>
        <v>0</v>
      </c>
      <c r="G7" s="53">
        <f>'DOE25'!K203+'DOE25'!K221+'DOE25'!K239</f>
        <v>20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101953.00000000001</v>
      </c>
      <c r="D8" s="243"/>
      <c r="E8" s="20">
        <f>'DOE25'!L204+'DOE25'!L222+'DOE25'!L240-F8-G8-D9-D11</f>
        <v>101665.00000000001</v>
      </c>
      <c r="F8" s="255">
        <f>'DOE25'!J204+'DOE25'!J222+'DOE25'!J240</f>
        <v>0</v>
      </c>
      <c r="G8" s="53">
        <f>'DOE25'!K204+'DOE25'!K222+'DOE25'!K240</f>
        <v>288</v>
      </c>
      <c r="H8" s="259"/>
    </row>
    <row r="9" spans="1:9" x14ac:dyDescent="0.2">
      <c r="A9" s="32">
        <v>2310</v>
      </c>
      <c r="B9" t="s">
        <v>817</v>
      </c>
      <c r="C9" s="245">
        <f t="shared" si="0"/>
        <v>13018.39</v>
      </c>
      <c r="D9" s="244">
        <v>13018.39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6050</v>
      </c>
      <c r="D10" s="243"/>
      <c r="E10" s="244">
        <v>6050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20226</v>
      </c>
      <c r="D11" s="244">
        <v>20226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161410.37000000002</v>
      </c>
      <c r="D12" s="20">
        <f>'DOE25'!L205+'DOE25'!L223+'DOE25'!L241-F12-G12</f>
        <v>161410.37000000002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142729.93</v>
      </c>
      <c r="D14" s="20">
        <f>'DOE25'!L207+'DOE25'!L225+'DOE25'!L243-F14-G14</f>
        <v>137948.74</v>
      </c>
      <c r="E14" s="243"/>
      <c r="F14" s="255">
        <f>'DOE25'!J207+'DOE25'!J225+'DOE25'!J243</f>
        <v>4781.1899999999996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98960.4</v>
      </c>
      <c r="D15" s="20">
        <f>'DOE25'!L208+'DOE25'!L226+'DOE25'!L244-F15-G15</f>
        <v>98960.4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1108.8</v>
      </c>
      <c r="D16" s="243"/>
      <c r="E16" s="20">
        <f>'DOE25'!L209+'DOE25'!L227+'DOE25'!L245-F16-G16</f>
        <v>1108.8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25782.21</v>
      </c>
      <c r="D29" s="20">
        <f>'DOE25'!L358+'DOE25'!L359+'DOE25'!L360-'DOE25'!I367-F29-G29</f>
        <v>25457.21</v>
      </c>
      <c r="E29" s="243"/>
      <c r="F29" s="255">
        <f>'DOE25'!J358+'DOE25'!J359+'DOE25'!J360</f>
        <v>0</v>
      </c>
      <c r="G29" s="53">
        <f>'DOE25'!K358+'DOE25'!K359+'DOE25'!K360</f>
        <v>325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321063.53000000003</v>
      </c>
      <c r="D31" s="20">
        <f>'DOE25'!L290+'DOE25'!L309+'DOE25'!L328+'DOE25'!L333+'DOE25'!L334+'DOE25'!L335-F31-G31</f>
        <v>296158.94000000006</v>
      </c>
      <c r="E31" s="243"/>
      <c r="F31" s="255">
        <f>'DOE25'!J290+'DOE25'!J309+'DOE25'!J328+'DOE25'!J333+'DOE25'!J334+'DOE25'!J335</f>
        <v>13964.059999999998</v>
      </c>
      <c r="G31" s="53">
        <f>'DOE25'!K290+'DOE25'!K309+'DOE25'!K328+'DOE25'!K333+'DOE25'!K334+'DOE25'!K335</f>
        <v>10940.529999999999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1954936.2200000002</v>
      </c>
      <c r="E33" s="246">
        <f>SUM(E5:E31)</f>
        <v>108823.80000000002</v>
      </c>
      <c r="F33" s="246">
        <f>SUM(F5:F31)</f>
        <v>32026.229999999996</v>
      </c>
      <c r="G33" s="246">
        <f>SUM(G5:G31)</f>
        <v>11673.529999999999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108823.80000000002</v>
      </c>
      <c r="E35" s="249"/>
    </row>
    <row r="36" spans="2:8" ht="12" thickTop="1" x14ac:dyDescent="0.2">
      <c r="B36" t="s">
        <v>814</v>
      </c>
      <c r="D36" s="20">
        <f>D33</f>
        <v>1954936.2200000002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HARRISVILLE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-17963.060000000001</v>
      </c>
      <c r="D8" s="95">
        <f>'DOE25'!G9</f>
        <v>0</v>
      </c>
      <c r="E8" s="95">
        <f>'DOE25'!H9</f>
        <v>37396.369999999995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205985.3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308538.29000000004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16787.04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48957.56</v>
      </c>
      <c r="D12" s="95">
        <f>'DOE25'!G13</f>
        <v>555.87</v>
      </c>
      <c r="E12" s="95">
        <f>'DOE25'!H13</f>
        <v>37024.93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200</v>
      </c>
      <c r="D13" s="95">
        <f>'DOE25'!G14</f>
        <v>17.45</v>
      </c>
      <c r="E13" s="95">
        <f>'DOE25'!H14</f>
        <v>11249.9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253966.84</v>
      </c>
      <c r="D18" s="41">
        <f>SUM(D8:D17)</f>
        <v>573.32000000000005</v>
      </c>
      <c r="E18" s="41">
        <f>SUM(E8:E17)</f>
        <v>85671.199999999983</v>
      </c>
      <c r="F18" s="41">
        <f>SUM(F8:F17)</f>
        <v>0</v>
      </c>
      <c r="G18" s="41">
        <f>SUM(G8:G17)</f>
        <v>308538.29000000004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102.47</v>
      </c>
      <c r="E21" s="95">
        <f>'DOE25'!H22</f>
        <v>16684.57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17205.849999999999</v>
      </c>
      <c r="D22" s="95">
        <f>'DOE25'!G23</f>
        <v>0</v>
      </c>
      <c r="E22" s="95">
        <f>'DOE25'!H23</f>
        <v>327.45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14348.2</v>
      </c>
      <c r="D23" s="95">
        <f>'DOE25'!G24</f>
        <v>0</v>
      </c>
      <c r="E23" s="95">
        <f>'DOE25'!H24</f>
        <v>17171.990000000002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1721.05</v>
      </c>
      <c r="D27" s="95">
        <f>'DOE25'!G28</f>
        <v>0</v>
      </c>
      <c r="E27" s="95">
        <f>'DOE25'!H28</f>
        <v>142.09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470.85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33275.1</v>
      </c>
      <c r="D31" s="41">
        <f>SUM(D21:D30)</f>
        <v>573.32000000000005</v>
      </c>
      <c r="E31" s="41">
        <f>SUM(E21:E30)</f>
        <v>34326.1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220.44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308538.29000000004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509.74</v>
      </c>
      <c r="D48" s="95">
        <f>'DOE25'!G49</f>
        <v>0</v>
      </c>
      <c r="E48" s="95">
        <f>'DOE25'!H49</f>
        <v>51124.66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170182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220691.74</v>
      </c>
      <c r="D50" s="41">
        <f>SUM(D34:D49)</f>
        <v>0</v>
      </c>
      <c r="E50" s="41">
        <f>SUM(E34:E49)</f>
        <v>51345.100000000006</v>
      </c>
      <c r="F50" s="41">
        <f>SUM(F34:F49)</f>
        <v>0</v>
      </c>
      <c r="G50" s="41">
        <f>SUM(G34:G49)</f>
        <v>308538.29000000004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253966.84</v>
      </c>
      <c r="D51" s="41">
        <f>D50+D31</f>
        <v>573.32000000000005</v>
      </c>
      <c r="E51" s="41">
        <f>E50+E31</f>
        <v>85671.200000000012</v>
      </c>
      <c r="F51" s="41">
        <f>F50+F31</f>
        <v>0</v>
      </c>
      <c r="G51" s="41">
        <f>G50+G31</f>
        <v>308538.29000000004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1347244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60086.27</v>
      </c>
      <c r="D57" s="24" t="s">
        <v>288</v>
      </c>
      <c r="E57" s="95">
        <f>'DOE25'!H79</f>
        <v>72204.73000000001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1470.49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2057.86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11214.75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49085.380000000005</v>
      </c>
      <c r="D61" s="95">
        <f>SUM('DOE25'!G98:G110)</f>
        <v>0</v>
      </c>
      <c r="E61" s="95">
        <f>SUM('DOE25'!H98:H110)</f>
        <v>26993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110642.14</v>
      </c>
      <c r="D62" s="130">
        <f>SUM(D57:D61)</f>
        <v>11214.75</v>
      </c>
      <c r="E62" s="130">
        <f>SUM(E57:E61)</f>
        <v>99197.73000000001</v>
      </c>
      <c r="F62" s="130">
        <f>SUM(F57:F61)</f>
        <v>0</v>
      </c>
      <c r="G62" s="130">
        <f>SUM(G57:G61)</f>
        <v>2057.86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1457886.14</v>
      </c>
      <c r="D63" s="22">
        <f>D56+D62</f>
        <v>11214.75</v>
      </c>
      <c r="E63" s="22">
        <f>E56+E62</f>
        <v>99197.73000000001</v>
      </c>
      <c r="F63" s="22">
        <f>F56+F62</f>
        <v>0</v>
      </c>
      <c r="G63" s="22">
        <f>G56+G62</f>
        <v>2057.86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12170.64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430691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442861.64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221.03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221.03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442861.64</v>
      </c>
      <c r="D81" s="130">
        <f>SUM(D79:D80)+D78+D70</f>
        <v>221.03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5764.97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17578.900000000001</v>
      </c>
      <c r="D88" s="95">
        <f>SUM('DOE25'!G153:G161)</f>
        <v>7657.66</v>
      </c>
      <c r="E88" s="95">
        <f>SUM('DOE25'!H153:H161)</f>
        <v>167032.85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17578.900000000001</v>
      </c>
      <c r="D91" s="131">
        <f>SUM(D85:D90)</f>
        <v>7657.66</v>
      </c>
      <c r="E91" s="131">
        <f>SUM(E85:E90)</f>
        <v>172797.82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18772.150000000001</v>
      </c>
      <c r="E96" s="95">
        <f>'DOE25'!H179</f>
        <v>19000</v>
      </c>
      <c r="F96" s="95">
        <f>'DOE25'!I179</f>
        <v>0</v>
      </c>
      <c r="G96" s="95">
        <f>'DOE25'!J179</f>
        <v>20000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66892.149999999994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18772.150000000001</v>
      </c>
      <c r="E103" s="86">
        <f>SUM(E93:E102)</f>
        <v>19000</v>
      </c>
      <c r="F103" s="86">
        <f>SUM(F93:F102)</f>
        <v>66892.149999999994</v>
      </c>
      <c r="G103" s="86">
        <f>SUM(G93:G102)</f>
        <v>20000</v>
      </c>
    </row>
    <row r="104" spans="1:7" ht="12.75" thickTop="1" thickBot="1" x14ac:dyDescent="0.25">
      <c r="A104" s="33" t="s">
        <v>764</v>
      </c>
      <c r="C104" s="86">
        <f>C63+C81+C91+C103</f>
        <v>1918326.6799999997</v>
      </c>
      <c r="D104" s="86">
        <f>D63+D81+D91+D103</f>
        <v>37865.590000000004</v>
      </c>
      <c r="E104" s="86">
        <f>E63+E81+E91+E103</f>
        <v>290995.55000000005</v>
      </c>
      <c r="F104" s="86">
        <f>F63+F81+F91+F103</f>
        <v>66892.149999999994</v>
      </c>
      <c r="G104" s="86">
        <f>G63+G81+G103</f>
        <v>22057.86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738545.65999999992</v>
      </c>
      <c r="D109" s="24" t="s">
        <v>288</v>
      </c>
      <c r="E109" s="95">
        <f>('DOE25'!L276)+('DOE25'!L295)+('DOE25'!L314)</f>
        <v>159345.90000000002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317859.73</v>
      </c>
      <c r="D110" s="24" t="s">
        <v>288</v>
      </c>
      <c r="E110" s="95">
        <f>('DOE25'!L277)+('DOE25'!L296)+('DOE25'!L315)</f>
        <v>10396.19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1793.9099999999999</v>
      </c>
      <c r="D112" s="24" t="s">
        <v>288</v>
      </c>
      <c r="E112" s="95">
        <f>+('DOE25'!L279)+('DOE25'!L298)+('DOE25'!L317)</f>
        <v>45219.829999999994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1058199.2999999998</v>
      </c>
      <c r="D115" s="86">
        <f>SUM(D109:D114)</f>
        <v>0</v>
      </c>
      <c r="E115" s="86">
        <f>SUM(E109:E114)</f>
        <v>214961.92000000001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136457.97999999998</v>
      </c>
      <c r="D118" s="24" t="s">
        <v>288</v>
      </c>
      <c r="E118" s="95">
        <f>+('DOE25'!L281)+('DOE25'!L300)+('DOE25'!L319)</f>
        <v>999.65000000000009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20499.87</v>
      </c>
      <c r="D119" s="24" t="s">
        <v>288</v>
      </c>
      <c r="E119" s="95">
        <f>+('DOE25'!L282)+('DOE25'!L301)+('DOE25'!L320)</f>
        <v>9086.4999999999982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135197.39000000001</v>
      </c>
      <c r="D120" s="24" t="s">
        <v>288</v>
      </c>
      <c r="E120" s="95">
        <f>+('DOE25'!L283)+('DOE25'!L302)+('DOE25'!L321)</f>
        <v>89261.63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161410.37000000002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4052.33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142729.93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98960.4</v>
      </c>
      <c r="D124" s="24" t="s">
        <v>288</v>
      </c>
      <c r="E124" s="95">
        <f>+('DOE25'!L287)+('DOE25'!L306)+('DOE25'!L325)</f>
        <v>1162.5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1108.8</v>
      </c>
      <c r="D125" s="24" t="s">
        <v>288</v>
      </c>
      <c r="E125" s="95">
        <f>+('DOE25'!L288)+('DOE25'!L307)+('DOE25'!L326)</f>
        <v>1539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37865.589999999997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696364.74000000011</v>
      </c>
      <c r="D128" s="86">
        <f>SUM(D118:D127)</f>
        <v>37865.589999999997</v>
      </c>
      <c r="E128" s="86">
        <f>SUM(E118:E127)</f>
        <v>106101.61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66892.149999999994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18772.150000000001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19000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11036.99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11020.87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-2057.8600000000006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47127.65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57772.15</v>
      </c>
      <c r="D144" s="141">
        <f>SUM(D130:D143)</f>
        <v>0</v>
      </c>
      <c r="E144" s="141">
        <f>SUM(E130:E143)</f>
        <v>47127.65</v>
      </c>
      <c r="F144" s="141">
        <f>SUM(F130:F143)</f>
        <v>66892.149999999994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1812336.19</v>
      </c>
      <c r="D145" s="86">
        <f>(D115+D128+D144)</f>
        <v>37865.589999999997</v>
      </c>
      <c r="E145" s="86">
        <f>(E115+E128+E144)</f>
        <v>368191.18000000005</v>
      </c>
      <c r="F145" s="86">
        <f>(F115+F128+F144)</f>
        <v>66892.149999999994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HARRISVILLE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27361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27361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897892</v>
      </c>
      <c r="D10" s="182">
        <f>ROUND((C10/$C$28)*100,1)</f>
        <v>41.8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328256</v>
      </c>
      <c r="D11" s="182">
        <f>ROUND((C11/$C$28)*100,1)</f>
        <v>15.3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47014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137458</v>
      </c>
      <c r="D15" s="182">
        <f t="shared" ref="D15:D27" si="0">ROUND((C15/$C$28)*100,1)</f>
        <v>6.4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29586</v>
      </c>
      <c r="D16" s="182">
        <f t="shared" si="0"/>
        <v>1.4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227107</v>
      </c>
      <c r="D17" s="182">
        <f t="shared" si="0"/>
        <v>10.6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161410</v>
      </c>
      <c r="D18" s="182">
        <f t="shared" si="0"/>
        <v>7.5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4052</v>
      </c>
      <c r="D19" s="182">
        <f t="shared" si="0"/>
        <v>0.2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142730</v>
      </c>
      <c r="D20" s="182">
        <f t="shared" si="0"/>
        <v>6.6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100123</v>
      </c>
      <c r="D21" s="182">
        <f t="shared" si="0"/>
        <v>4.7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47127.65</v>
      </c>
      <c r="D26" s="182">
        <f t="shared" si="0"/>
        <v>2.2000000000000002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26651.25</v>
      </c>
      <c r="D27" s="182">
        <f t="shared" si="0"/>
        <v>1.2</v>
      </c>
    </row>
    <row r="28" spans="1:4" x14ac:dyDescent="0.2">
      <c r="B28" s="187" t="s">
        <v>722</v>
      </c>
      <c r="C28" s="180">
        <f>SUM(C10:C27)</f>
        <v>2149406.9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66892</v>
      </c>
    </row>
    <row r="30" spans="1:4" x14ac:dyDescent="0.2">
      <c r="B30" s="187" t="s">
        <v>728</v>
      </c>
      <c r="C30" s="180">
        <f>SUM(C28:C29)</f>
        <v>2216298.9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1347244</v>
      </c>
      <c r="D35" s="182">
        <f t="shared" ref="D35:D40" si="1">ROUND((C35/$C$41)*100,1)</f>
        <v>61.2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211897.73000000021</v>
      </c>
      <c r="D36" s="182">
        <f t="shared" si="1"/>
        <v>9.6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442862</v>
      </c>
      <c r="D37" s="182">
        <f t="shared" si="1"/>
        <v>20.100000000000001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221</v>
      </c>
      <c r="D38" s="182">
        <f t="shared" si="1"/>
        <v>0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198034</v>
      </c>
      <c r="D39" s="182">
        <f t="shared" si="1"/>
        <v>9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2200258.7300000004</v>
      </c>
      <c r="D41" s="184">
        <f>SUM(D35:D40)</f>
        <v>99.9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HARRISVILLE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2017-09-27T16:32:06Z</cp:lastPrinted>
  <dcterms:created xsi:type="dcterms:W3CDTF">1997-12-04T19:04:30Z</dcterms:created>
  <dcterms:modified xsi:type="dcterms:W3CDTF">2017-11-29T17:27:21Z</dcterms:modified>
</cp:coreProperties>
</file>