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665" i="1" l="1"/>
  <c r="C39" i="12" l="1"/>
  <c r="C38" i="12"/>
  <c r="C37" i="12"/>
  <c r="C21" i="12"/>
  <c r="C20" i="12"/>
  <c r="C19" i="12"/>
  <c r="C11" i="12"/>
  <c r="C12" i="12"/>
  <c r="C10" i="12"/>
  <c r="B38" i="12"/>
  <c r="B39" i="12"/>
  <c r="B37" i="12"/>
  <c r="B10" i="12"/>
  <c r="I591" i="1"/>
  <c r="H613" i="1"/>
  <c r="H604" i="1"/>
  <c r="F564" i="1"/>
  <c r="H542" i="1"/>
  <c r="H543" i="1"/>
  <c r="H541" i="1"/>
  <c r="H523" i="1" l="1"/>
  <c r="H522" i="1"/>
  <c r="H521" i="1"/>
  <c r="H472" i="1" l="1"/>
  <c r="H468" i="1"/>
  <c r="H465" i="1"/>
  <c r="F468" i="1"/>
  <c r="F465" i="1"/>
  <c r="G459" i="1" l="1"/>
  <c r="H360" i="1"/>
  <c r="H358" i="1"/>
  <c r="F317" i="1"/>
  <c r="H319" i="1"/>
  <c r="H314" i="1"/>
  <c r="F295" i="1"/>
  <c r="F276" i="1"/>
  <c r="J276" i="1"/>
  <c r="H282" i="1"/>
  <c r="F233" i="1"/>
  <c r="H245" i="1"/>
  <c r="H244" i="1"/>
  <c r="H243" i="1"/>
  <c r="H241" i="1"/>
  <c r="H240" i="1"/>
  <c r="H239" i="1"/>
  <c r="H238" i="1"/>
  <c r="H236" i="1"/>
  <c r="H235" i="1"/>
  <c r="H234" i="1"/>
  <c r="H233" i="1"/>
  <c r="H227" i="1"/>
  <c r="H226" i="1"/>
  <c r="H225" i="1"/>
  <c r="H223" i="1"/>
  <c r="H222" i="1"/>
  <c r="H221" i="1"/>
  <c r="H220" i="1"/>
  <c r="H218" i="1"/>
  <c r="H216" i="1"/>
  <c r="H209" i="1"/>
  <c r="H208" i="1"/>
  <c r="H207" i="1"/>
  <c r="H205" i="1"/>
  <c r="H204" i="1"/>
  <c r="H203" i="1"/>
  <c r="H202" i="1"/>
  <c r="I197" i="1"/>
  <c r="H197" i="1"/>
  <c r="H102" i="1"/>
  <c r="H155" i="1"/>
  <c r="G158" i="1"/>
  <c r="G132" i="1"/>
  <c r="F101" i="1"/>
  <c r="F96" i="1"/>
  <c r="H22" i="1"/>
  <c r="H48" i="1"/>
  <c r="H24" i="1"/>
  <c r="F50" i="1"/>
  <c r="F17" i="1" l="1"/>
  <c r="F2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C123" i="2" s="1"/>
  <c r="L243" i="1"/>
  <c r="F15" i="13"/>
  <c r="G15" i="13"/>
  <c r="L208" i="1"/>
  <c r="D15" i="13" s="1"/>
  <c r="C15" i="13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B27" i="12"/>
  <c r="C27" i="12"/>
  <c r="B31" i="12"/>
  <c r="C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F470" i="1"/>
  <c r="F476" i="1" s="1"/>
  <c r="H622" i="1" s="1"/>
  <c r="J622" i="1" s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J636" i="1" s="1"/>
  <c r="H637" i="1"/>
  <c r="H638" i="1"/>
  <c r="G639" i="1"/>
  <c r="H639" i="1"/>
  <c r="J639" i="1" s="1"/>
  <c r="G641" i="1"/>
  <c r="J641" i="1" s="1"/>
  <c r="H641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51" i="1"/>
  <c r="A31" i="12"/>
  <c r="D62" i="2"/>
  <c r="D63" i="2" s="1"/>
  <c r="D18" i="13"/>
  <c r="C18" i="13" s="1"/>
  <c r="D7" i="13"/>
  <c r="C7" i="13" s="1"/>
  <c r="D18" i="2"/>
  <c r="D17" i="13"/>
  <c r="C17" i="13" s="1"/>
  <c r="C91" i="2"/>
  <c r="F78" i="2"/>
  <c r="D50" i="2"/>
  <c r="F18" i="2"/>
  <c r="G161" i="2"/>
  <c r="E103" i="2"/>
  <c r="D91" i="2"/>
  <c r="E31" i="2"/>
  <c r="G62" i="2"/>
  <c r="D19" i="13"/>
  <c r="C19" i="13" s="1"/>
  <c r="E13" i="13"/>
  <c r="C13" i="13" s="1"/>
  <c r="J617" i="1"/>
  <c r="E78" i="2"/>
  <c r="H112" i="1"/>
  <c r="K605" i="1"/>
  <c r="G648" i="1" s="1"/>
  <c r="L419" i="1"/>
  <c r="I169" i="1"/>
  <c r="G552" i="1"/>
  <c r="H476" i="1"/>
  <c r="H624" i="1" s="1"/>
  <c r="G338" i="1"/>
  <c r="G352" i="1" s="1"/>
  <c r="F169" i="1"/>
  <c r="J140" i="1"/>
  <c r="I552" i="1"/>
  <c r="G22" i="2"/>
  <c r="J552" i="1"/>
  <c r="C29" i="10"/>
  <c r="H140" i="1"/>
  <c r="L401" i="1"/>
  <c r="C139" i="2" s="1"/>
  <c r="L393" i="1"/>
  <c r="F22" i="13"/>
  <c r="C22" i="13" s="1"/>
  <c r="H338" i="1"/>
  <c r="H352" i="1" s="1"/>
  <c r="H192" i="1"/>
  <c r="E16" i="13"/>
  <c r="C16" i="13" s="1"/>
  <c r="L570" i="1"/>
  <c r="I571" i="1"/>
  <c r="G36" i="2"/>
  <c r="K551" i="1"/>
  <c r="C138" i="2"/>
  <c r="L614" i="1" l="1"/>
  <c r="J651" i="1"/>
  <c r="K598" i="1"/>
  <c r="G647" i="1" s="1"/>
  <c r="J545" i="1"/>
  <c r="K550" i="1"/>
  <c r="K552" i="1" s="1"/>
  <c r="L534" i="1"/>
  <c r="I545" i="1"/>
  <c r="K545" i="1"/>
  <c r="G545" i="1"/>
  <c r="G157" i="2"/>
  <c r="G156" i="2"/>
  <c r="G476" i="1"/>
  <c r="H623" i="1" s="1"/>
  <c r="J623" i="1" s="1"/>
  <c r="J640" i="1"/>
  <c r="I461" i="1"/>
  <c r="H642" i="1" s="1"/>
  <c r="I446" i="1"/>
  <c r="G642" i="1" s="1"/>
  <c r="L427" i="1"/>
  <c r="L434" i="1" s="1"/>
  <c r="G638" i="1" s="1"/>
  <c r="J638" i="1" s="1"/>
  <c r="L362" i="1"/>
  <c r="D29" i="13"/>
  <c r="C29" i="13" s="1"/>
  <c r="D127" i="2"/>
  <c r="D128" i="2" s="1"/>
  <c r="D145" i="2" s="1"/>
  <c r="F661" i="1"/>
  <c r="G661" i="1"/>
  <c r="E128" i="2"/>
  <c r="L328" i="1"/>
  <c r="F338" i="1"/>
  <c r="F352" i="1" s="1"/>
  <c r="E109" i="2"/>
  <c r="E115" i="2" s="1"/>
  <c r="E145" i="2" s="1"/>
  <c r="L290" i="1"/>
  <c r="C25" i="13"/>
  <c r="H33" i="13"/>
  <c r="C132" i="2"/>
  <c r="L270" i="1"/>
  <c r="L256" i="1"/>
  <c r="K257" i="1"/>
  <c r="K271" i="1" s="1"/>
  <c r="C121" i="2"/>
  <c r="D12" i="13"/>
  <c r="C12" i="13" s="1"/>
  <c r="C120" i="2"/>
  <c r="E8" i="13"/>
  <c r="C8" i="13" s="1"/>
  <c r="L247" i="1"/>
  <c r="H660" i="1" s="1"/>
  <c r="H664" i="1" s="1"/>
  <c r="H667" i="1" s="1"/>
  <c r="F257" i="1"/>
  <c r="F271" i="1" s="1"/>
  <c r="C10" i="10"/>
  <c r="H257" i="1"/>
  <c r="H271" i="1" s="1"/>
  <c r="C20" i="10"/>
  <c r="D14" i="13"/>
  <c r="C14" i="13" s="1"/>
  <c r="J257" i="1"/>
  <c r="J271" i="1" s="1"/>
  <c r="I257" i="1"/>
  <c r="I271" i="1" s="1"/>
  <c r="G257" i="1"/>
  <c r="G271" i="1" s="1"/>
  <c r="C109" i="2"/>
  <c r="C115" i="2" s="1"/>
  <c r="L229" i="1"/>
  <c r="G660" i="1" s="1"/>
  <c r="G664" i="1" s="1"/>
  <c r="G672" i="1" s="1"/>
  <c r="C5" i="10" s="1"/>
  <c r="G649" i="1"/>
  <c r="J649" i="1" s="1"/>
  <c r="F662" i="1"/>
  <c r="I662" i="1" s="1"/>
  <c r="H647" i="1"/>
  <c r="C124" i="2"/>
  <c r="L211" i="1"/>
  <c r="C15" i="10"/>
  <c r="C118" i="2"/>
  <c r="J645" i="1"/>
  <c r="C70" i="2"/>
  <c r="F112" i="1"/>
  <c r="C35" i="10"/>
  <c r="C36" i="10" s="1"/>
  <c r="J624" i="1"/>
  <c r="H52" i="1"/>
  <c r="H619" i="1" s="1"/>
  <c r="C18" i="2"/>
  <c r="C81" i="2"/>
  <c r="K503" i="1"/>
  <c r="C62" i="2"/>
  <c r="C63" i="2" s="1"/>
  <c r="E81" i="2"/>
  <c r="F81" i="2"/>
  <c r="G625" i="1"/>
  <c r="J625" i="1" s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G50" i="2"/>
  <c r="J652" i="1"/>
  <c r="J642" i="1"/>
  <c r="G571" i="1"/>
  <c r="I434" i="1"/>
  <c r="G434" i="1"/>
  <c r="I663" i="1"/>
  <c r="C27" i="10"/>
  <c r="G635" i="1"/>
  <c r="J635" i="1" s="1"/>
  <c r="C40" i="12" l="1"/>
  <c r="A40" i="12" s="1"/>
  <c r="C22" i="12"/>
  <c r="A22" i="12" s="1"/>
  <c r="C13" i="12"/>
  <c r="A13" i="12" s="1"/>
  <c r="H646" i="1"/>
  <c r="J647" i="1"/>
  <c r="L545" i="1"/>
  <c r="G51" i="2"/>
  <c r="I661" i="1"/>
  <c r="E33" i="13"/>
  <c r="D35" i="13" s="1"/>
  <c r="H672" i="1"/>
  <c r="C6" i="10" s="1"/>
  <c r="C128" i="2"/>
  <c r="C145" i="2" s="1"/>
  <c r="H648" i="1"/>
  <c r="J648" i="1" s="1"/>
  <c r="G667" i="1"/>
  <c r="L257" i="1"/>
  <c r="L271" i="1" s="1"/>
  <c r="G632" i="1" s="1"/>
  <c r="J632" i="1" s="1"/>
  <c r="F660" i="1"/>
  <c r="F664" i="1" s="1"/>
  <c r="F672" i="1" s="1"/>
  <c r="C4" i="10" s="1"/>
  <c r="C28" i="10"/>
  <c r="D24" i="10" s="1"/>
  <c r="C104" i="2"/>
  <c r="D31" i="13"/>
  <c r="C31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0" i="10"/>
  <c r="D20" i="10"/>
  <c r="C30" i="10"/>
  <c r="D16" i="10"/>
  <c r="D26" i="10"/>
  <c r="D23" i="10"/>
  <c r="D15" i="10"/>
  <c r="F667" i="1"/>
  <c r="D25" i="10"/>
  <c r="D19" i="10"/>
  <c r="D13" i="10"/>
  <c r="D11" i="10"/>
  <c r="D21" i="10"/>
  <c r="D22" i="10"/>
  <c r="D27" i="10"/>
  <c r="D18" i="10"/>
  <c r="D17" i="10"/>
  <c r="D12" i="10"/>
  <c r="I660" i="1"/>
  <c r="I664" i="1" s="1"/>
  <c r="I672" i="1" s="1"/>
  <c r="C7" i="10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<sst xmlns="http://schemas.openxmlformats.org/spreadsheetml/2006/main" count="3965" uniqueCount="923">
  <si>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</si>
  <si>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</si>
  <si>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</si>
  <si>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</si>
  <si>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</si>
  <si>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</si>
  <si>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</si>
  <si>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</si>
  <si>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</si>
  <si>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</si>
  <si>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</si>
  <si>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</si>
  <si>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</si>
  <si>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</si>
  <si>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</si>
  <si>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</si>
  <si>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</si>
  <si>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</si>
  <si>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</si>
  <si>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</si>
  <si>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</si>
  <si>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</si>
  <si>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</si>
  <si>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</si>
  <si>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</si>
  <si>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</si>
  <si>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</si>
  <si>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</si>
  <si>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</si>
  <si>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</si>
  <si>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</si>
  <si>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</si>
  <si>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</si>
  <si>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</si>
  <si>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</si>
  <si>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</si>
  <si>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</si>
  <si>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</si>
  <si>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</si>
  <si>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</si>
  <si>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</si>
  <si>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</si>
  <si>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</si>
  <si>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</si>
  <si>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</si>
  <si>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</si>
  <si>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</si>
  <si>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</si>
  <si>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</si>
  <si>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</si>
  <si>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</si>
  <si>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</si>
  <si>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</si>
  <si>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</si>
  <si>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</si>
  <si>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</si>
  <si>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</si>
  <si>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</si>
  <si>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</si>
  <si>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</si>
  <si>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</si>
  <si>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</si>
  <si>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</si>
  <si>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</si>
  <si>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</si>
  <si>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</si>
  <si>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</si>
  <si>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</si>
  <si>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</si>
  <si>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</si>
  <si>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</si>
  <si>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</si>
  <si>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</si>
  <si>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</si>
  <si>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</si>
  <si>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</si>
  <si>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</si>
  <si>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</si>
  <si>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</si>
  <si>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</si>
  <si>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</si>
  <si>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</si>
  <si>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</si>
  <si>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</si>
  <si>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</si>
  <si>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</si>
  <si>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</si>
  <si>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</si>
  <si>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</si>
  <si>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</si>
  <si>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</si>
  <si>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</si>
  <si>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</si>
  <si>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</si>
  <si>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</si>
  <si>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</si>
  <si>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</si>
  <si>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</si>
  <si>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</si>
  <si>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</si>
  <si>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</si>
  <si>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</si>
  <si>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</si>
  <si>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</si>
  <si>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</si>
  <si>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</si>
  <si>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</si>
  <si>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</si>
  <si>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</si>
  <si>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</si>
  <si>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</si>
  <si>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</si>
  <si>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</si>
  <si>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</si>
  <si>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</si>
  <si>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</si>
  <si>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</si>
  <si>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</si>
  <si>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</si>
  <si>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</si>
  <si>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</si>
  <si>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</si>
  <si>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</si>
  <si>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</si>
  <si>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</si>
  <si>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</si>
  <si>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</si>
  <si>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</si>
  <si>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</si>
  <si>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</si>
  <si>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</si>
  <si>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</si>
  <si>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</si>
  <si>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</si>
  <si>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</si>
  <si>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</si>
  <si>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</si>
  <si>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</si>
  <si>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</si>
  <si>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</si>
  <si>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</si>
  <si>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</si>
  <si>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</si>
  <si>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</si>
  <si>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</si>
  <si>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</si>
  <si>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</si>
  <si>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</si>
  <si>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</si>
  <si>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</si>
  <si>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</si>
  <si>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</si>
  <si>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</si>
  <si>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</si>
  <si>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</si>
  <si>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</si>
  <si>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</si>
  <si>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</si>
  <si>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</si>
  <si>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</si>
  <si>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</si>
  <si>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</si>
  <si>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</si>
  <si>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</si>
  <si>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</si>
  <si>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</si>
  <si>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</si>
  <si>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</si>
  <si>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</si>
  <si>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</si>
  <si>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</si>
  <si>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</si>
  <si>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</si>
  <si>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</si>
  <si>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</si>
  <si>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</si>
  <si>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</si>
  <si>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</si>
  <si>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</si>
  <si>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</si>
  <si>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</si>
  <si>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</si>
  <si>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</si>
  <si>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</si>
  <si>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</si>
  <si>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</si>
  <si>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</si>
  <si>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</si>
  <si>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</si>
  <si>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</si>
  <si>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</si>
  <si>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</si>
  <si>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</si>
  <si>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</si>
  <si>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</si>
  <si>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</si>
  <si>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</si>
  <si>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</si>
  <si>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</si>
  <si>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</si>
  <si>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</si>
  <si>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</si>
  <si>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</si>
  <si>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</si>
  <si>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</si>
  <si>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</si>
  <si>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</si>
  <si>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</si>
  <si>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</si>
  <si>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</si>
  <si>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</si>
  <si>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</si>
  <si>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</si>
  <si>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</si>
  <si>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</si>
  <si>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</si>
  <si>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</si>
  <si>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</si>
  <si>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</si>
  <si>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</si>
  <si>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</si>
  <si>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</si>
  <si>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</si>
  <si>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</si>
  <si>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</si>
  <si>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</si>
  <si>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</si>
  <si>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</si>
  <si>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</si>
  <si>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</si>
  <si>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</si>
  <si>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</si>
  <si>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</si>
  <si>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</si>
  <si>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</si>
  <si>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</si>
  <si>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</si>
  <si>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</si>
  <si>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</si>
  <si>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</si>
  <si>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</si>
  <si>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</si>
  <si>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</si>
  <si>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</si>
  <si>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</si>
  <si>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</si>
  <si>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</si>
  <si>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</si>
  <si>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</si>
  <si>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</si>
  <si>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</si>
  <si>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</si>
  <si>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</si>
  <si>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</si>
  <si>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</si>
  <si>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</si>
  <si>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</si>
  <si>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</si>
  <si>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</si>
  <si>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</si>
  <si>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</si>
  <si>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</si>
  <si>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</si>
  <si>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</si>
  <si>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</si>
  <si>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</si>
  <si>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</si>
  <si>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</si>
  <si>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</si>
  <si>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</si>
  <si>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</si>
  <si>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</si>
  <si>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</si>
  <si>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</si>
  <si>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</si>
  <si>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</si>
  <si>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</si>
  <si>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</si>
  <si>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</si>
  <si>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</si>
  <si>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</si>
  <si>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</si>
  <si>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</si>
  <si>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</si>
  <si>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</si>
  <si>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</si>
  <si>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</si>
  <si>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</si>
  <si>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</si>
  <si>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</si>
  <si>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</si>
  <si>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</si>
  <si>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</si>
  <si>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</si>
  <si>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</si>
  <si>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</si>
  <si>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</si>
  <si>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</si>
  <si>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</si>
  <si>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</si>
  <si>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</si>
  <si>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</si>
  <si>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</si>
  <si>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</si>
  <si>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</si>
  <si>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</si>
  <si>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</si>
  <si>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</si>
  <si>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</si>
  <si>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</si>
  <si>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</si>
  <si>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</si>
  <si>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</si>
  <si>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</si>
  <si>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</si>
  <si>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</si>
  <si>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</si>
  <si>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</si>
  <si>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</si>
  <si>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</si>
  <si>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</si>
  <si>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</si>
  <si>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</si>
  <si>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</si>
  <si>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</si>
  <si>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</si>
  <si>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</si>
  <si>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</si>
  <si>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</si>
  <si>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</si>
  <si>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</si>
  <si>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</si>
  <si>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</si>
  <si>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</si>
  <si>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</si>
  <si>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</si>
  <si>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</si>
  <si>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</si>
  <si>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</si>
  <si>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</si>
  <si>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</si>
  <si>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</si>
  <si>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</si>
  <si>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</si>
  <si>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</si>
  <si>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</si>
  <si>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</si>
  <si>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</si>
  <si>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</si>
  <si>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</si>
  <si>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</si>
  <si>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</si>
  <si>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</si>
  <si>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</si>
  <si>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</si>
  <si>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</si>
  <si>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</si>
  <si>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</si>
  <si>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</si>
  <si>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</si>
  <si>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</si>
  <si>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</si>
  <si>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</si>
  <si>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</si>
  <si>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</si>
  <si>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</si>
  <si>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</si>
  <si>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</si>
  <si>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</si>
  <si>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</si>
  <si>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</si>
  <si>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</si>
  <si>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</si>
  <si>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</si>
  <si>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</si>
  <si>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</si>
  <si>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</si>
  <si>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</si>
  <si>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</si>
  <si>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</si>
  <si>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</si>
  <si>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</si>
  <si>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</si>
  <si>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</si>
  <si>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</si>
  <si>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</si>
  <si>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</si>
  <si>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</si>
  <si>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</si>
  <si>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</si>
  <si>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</si>
  <si>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</si>
  <si>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</si>
  <si>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</si>
  <si>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</si>
  <si>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</si>
  <si>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</si>
  <si>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</si>
  <si>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</si>
  <si>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</si>
  <si>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</si>
  <si>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</si>
  <si>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</si>
  <si>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</si>
  <si>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</si>
  <si>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</si>
  <si>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</si>
  <si>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</si>
  <si>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</si>
  <si>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</si>
  <si>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</si>
  <si>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</si>
  <si>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</si>
  <si>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</si>
  <si>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</si>
  <si>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</si>
  <si>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</si>
  <si>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</si>
  <si>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</si>
  <si>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</si>
  <si>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</si>
  <si>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</si>
  <si>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</si>
  <si>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</si>
  <si>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</si>
  <si>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</si>
  <si>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</si>
  <si>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</si>
  <si>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</si>
  <si>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</si>
  <si>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</si>
  <si>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</si>
  <si>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</si>
  <si>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</si>
  <si>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</si>
  <si>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</si>
  <si>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</si>
  <si>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</si>
  <si>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</si>
  <si>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</si>
  <si>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</si>
  <si>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</si>
  <si>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</si>
  <si>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</si>
  <si>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</si>
  <si>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</si>
  <si>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</si>
  <si>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</si>
  <si>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</si>
  <si>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</si>
  <si>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</si>
  <si>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</si>
  <si>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</si>
  <si>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</si>
  <si>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</si>
  <si>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</si>
  <si>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</si>
  <si>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</si>
  <si>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</si>
  <si>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</si>
  <si>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</si>
  <si>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</si>
  <si>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</si>
  <si>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</si>
  <si>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</si>
  <si>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</si>
  <si>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</si>
  <si>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</si>
  <si>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</si>
  <si>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</si>
  <si>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</si>
  <si>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</si>
  <si>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</si>
  <si>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</si>
  <si>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</si>
  <si>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</si>
  <si>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</si>
  <si>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</si>
  <si>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</si>
  <si>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</si>
  <si>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</si>
  <si>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</si>
  <si>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</si>
  <si>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</si>
  <si>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</si>
  <si>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</si>
  <si>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</si>
  <si>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</si>
  <si>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</si>
  <si>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</si>
  <si>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</si>
  <si>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</si>
  <si>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</si>
  <si>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</si>
  <si>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</si>
  <si>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</si>
  <si>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</si>
  <si>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</si>
  <si>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</si>
  <si>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</si>
  <si>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</si>
  <si>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</si>
  <si>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</si>
  <si>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</si>
  <si>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</si>
  <si>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</si>
  <si>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</si>
  <si>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</si>
  <si>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</si>
  <si>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</si>
  <si>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</si>
  <si>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</si>
  <si>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</si>
  <si>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</si>
  <si>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</si>
  <si>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</si>
  <si>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</si>
  <si>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</si>
  <si>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</si>
  <si>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</si>
  <si>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</si>
  <si>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</si>
  <si>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</si>
  <si>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</si>
  <si>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</si>
  <si>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</si>
  <si>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</si>
  <si>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</si>
  <si>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</si>
  <si>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</si>
  <si>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</si>
  <si>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</si>
  <si>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</si>
  <si>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</si>
  <si>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</si>
  <si>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</si>
  <si>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</si>
  <si>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</si>
  <si>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</si>
  <si>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</si>
  <si>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</si>
  <si>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</si>
  <si>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</si>
  <si>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</si>
  <si>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</si>
  <si>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</si>
  <si>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</si>
  <si>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</si>
  <si>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</si>
  <si>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</si>
  <si>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</si>
  <si>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</si>
  <si>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</si>
  <si>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</si>
  <si>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</si>
  <si>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</si>
  <si>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</si>
  <si>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</si>
  <si>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</si>
  <si>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</si>
  <si>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</si>
  <si>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</si>
  <si>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</si>
  <si>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</si>
  <si>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</si>
  <si>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</si>
  <si>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</si>
  <si>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</si>
  <si>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</si>
  <si>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</si>
  <si>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</si>
  <si>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</si>
  <si>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</si>
  <si>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</si>
  <si>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</si>
  <si>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</si>
  <si>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</si>
  <si>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</si>
  <si>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</si>
  <si>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</si>
  <si>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</si>
  <si>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</si>
  <si>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</si>
  <si>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</si>
  <si>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</si>
  <si>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</si>
  <si>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</si>
  <si>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</si>
  <si>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</si>
  <si>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</si>
  <si>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</si>
  <si>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</si>
  <si>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</si>
  <si>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</si>
  <si>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</si>
  <si>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</si>
  <si>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</si>
  <si>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</si>
  <si>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</si>
  <si>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</si>
  <si>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</si>
  <si>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</si>
  <si>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</si>
  <si>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</si>
  <si>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</si>
  <si>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</si>
  <si>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</si>
  <si>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</si>
  <si>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</si>
  <si>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</si>
  <si>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</si>
  <si>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</si>
  <si>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</si>
  <si>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</si>
  <si>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</si>
  <si>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</si>
  <si>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</si>
  <si>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</si>
  <si>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</si>
  <si>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</si>
  <si>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</si>
  <si>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</si>
  <si>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</si>
  <si>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</si>
  <si>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</si>
  <si>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</si>
  <si>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</si>
  <si>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</si>
  <si>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</si>
  <si>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</si>
  <si>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</si>
  <si>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</si>
  <si>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</si>
  <si>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</si>
  <si>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</si>
  <si>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</si>
  <si>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</si>
  <si>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</si>
  <si>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</si>
  <si>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</si>
  <si>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</si>
  <si>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</si>
  <si>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</si>
  <si>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</si>
  <si>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</si>
  <si>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</si>
  <si>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</si>
  <si>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</si>
  <si>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</si>
  <si>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</si>
  <si>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</si>
  <si>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</si>
  <si>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</si>
  <si>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</si>
  <si>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</si>
  <si>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</si>
  <si>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</si>
  <si>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</si>
  <si>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</si>
  <si>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</si>
  <si>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</si>
  <si>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</si>
  <si>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</si>
  <si>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</si>
  <si>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</si>
  <si>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</si>
  <si>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</si>
  <si>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</si>
  <si>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</si>
  <si>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</si>
  <si>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</si>
  <si>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</si>
  <si>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</si>
  <si>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</si>
  <si>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</si>
  <si>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</si>
  <si>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</si>
  <si>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</si>
  <si>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</si>
  <si>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</si>
  <si>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</si>
  <si>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</si>
  <si>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</si>
  <si>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</si>
  <si>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</si>
  <si>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</si>
  <si>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</si>
  <si>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</si>
  <si>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</si>
  <si>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</si>
  <si>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</si>
  <si>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</si>
  <si>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</si>
  <si>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</si>
  <si>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</si>
  <si>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</si>
  <si>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</si>
  <si>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</si>
  <si>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</si>
  <si>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</si>
  <si>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</si>
  <si>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</si>
  <si>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</si>
  <si>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</si>
  <si>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</si>
  <si>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</si>
  <si>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</si>
  <si>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</si>
  <si>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</si>
  <si>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</si>
  <si>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</si>
  <si>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</si>
  <si>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</si>
  <si>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</si>
  <si>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</si>
  <si>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</si>
  <si>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</si>
  <si>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</si>
  <si>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</si>
  <si>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</si>
  <si>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</si>
  <si>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</si>
  <si>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</si>
  <si>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</si>
  <si>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</si>
  <si>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</si>
  <si>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</si>
  <si>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</si>
  <si>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</si>
  <si>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</si>
  <si>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</si>
  <si>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</si>
  <si>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</si>
  <si>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</si>
  <si>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</si>
  <si>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</si>
  <si>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</si>
  <si>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</si>
  <si>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</si>
  <si>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</si>
  <si>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</si>
  <si>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</si>
  <si>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</si>
  <si>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</si>
  <si>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</si>
  <si>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</si>
  <si>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</si>
  <si>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</si>
  <si>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</si>
  <si>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</si>
  <si>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</si>
  <si>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</si>
  <si>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</si>
  <si>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</si>
  <si>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</si>
  <si>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</si>
  <si>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</si>
  <si>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</si>
  <si>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</si>
  <si>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</si>
  <si>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</si>
  <si>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</si>
  <si>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</si>
  <si>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</si>
  <si>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</si>
  <si>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</si>
  <si>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</si>
  <si>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</si>
  <si>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</si>
  <si>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</si>
  <si>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</si>
  <si>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</si>
  <si>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</si>
  <si>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</si>
  <si>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</si>
  <si>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</si>
  <si>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</si>
  <si>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</si>
  <si>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</si>
  <si>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</si>
  <si>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</si>
  <si>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</si>
  <si>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</si>
  <si>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</si>
  <si>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</si>
  <si>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</si>
  <si>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</si>
  <si>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</si>
  <si>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</si>
  <si>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</si>
  <si>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</si>
  <si>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</si>
  <si>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</si>
  <si>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</si>
  <si>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</si>
  <si>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</si>
  <si>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</si>
  <si>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</si>
  <si>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</si>
  <si>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</si>
  <si>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</si>
  <si>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</si>
  <si>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</si>
  <si>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</si>
  <si>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</si>
  <si>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</si>
  <si>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</si>
  <si>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</si>
  <si>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</si>
  <si>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</si>
  <si>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</si>
  <si>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</si>
  <si>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</si>
  <si>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</si>
  <si>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</si>
  <si>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</si>
  <si>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</si>
  <si>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</si>
  <si>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</si>
  <si>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</si>
  <si>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</si>
  <si>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</si>
  <si>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</si>
  <si>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</si>
  <si>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</si>
  <si>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</si>
  <si>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</si>
  <si>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</si>
  <si>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</si>
  <si>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</si>
  <si>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</si>
  <si>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</si>
  <si>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</si>
  <si>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</si>
  <si>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</si>
  <si>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</si>
  <si>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</si>
  <si>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</si>
  <si>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</si>
  <si>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</si>
  <si>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</si>
  <si>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</si>
  <si>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</si>
  <si>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</si>
  <si>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</si>
  <si>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</si>
  <si>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</si>
  <si>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</si>
  <si>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</si>
  <si>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</si>
  <si>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</si>
  <si>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</si>
  <si>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</si>
  <si>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</si>
  <si>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</si>
  <si>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</si>
  <si>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</si>
  <si>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</si>
  <si>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</si>
  <si>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</si>
  <si>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</si>
  <si>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</si>
  <si>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</si>
  <si>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</si>
  <si>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</si>
  <si>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</si>
  <si>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</si>
  <si>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</si>
  <si>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</si>
  <si>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</si>
  <si>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</si>
  <si>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</si>
  <si>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</si>
  <si>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</si>
  <si>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</si>
  <si>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</si>
  <si>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</si>
  <si>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</si>
  <si>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</si>
  <si>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</si>
  <si>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</si>
  <si>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</si>
  <si>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</si>
  <si>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</si>
  <si>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</si>
  <si>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</si>
  <si>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</si>
  <si>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</si>
  <si>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</si>
  <si>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</si>
  <si>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</si>
  <si>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</si>
  <si>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</si>
  <si>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</si>
  <si>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</si>
  <si>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</si>
  <si>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</si>
  <si>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</si>
  <si>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</si>
  <si>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</si>
  <si>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</si>
  <si>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</si>
  <si>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</si>
  <si>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</si>
  <si>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</si>
  <si>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</si>
  <si>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</si>
  <si>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</si>
  <si>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</si>
  <si>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</si>
  <si>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</si>
  <si>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</si>
  <si>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8/21/03</t>
  </si>
  <si>
    <t>7/6/2005</t>
  </si>
  <si>
    <t>3/2/2009</t>
  </si>
  <si>
    <t>11/2008</t>
  </si>
  <si>
    <t>2/2012</t>
  </si>
  <si>
    <t>8/21/18</t>
  </si>
  <si>
    <t>7/5/2021</t>
  </si>
  <si>
    <t>3/1/2019</t>
  </si>
  <si>
    <t>11/2022</t>
  </si>
  <si>
    <t>2/2017</t>
  </si>
  <si>
    <t>Haverhill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</si>
</sst>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922</v>
      </c>
      <c r="B2" s="21">
        <v>238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723728+550</f>
        <v>724278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416095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137578</v>
      </c>
      <c r="G12" s="18"/>
      <c r="H12" s="18"/>
      <c r="I12" s="18"/>
      <c r="J12" s="67">
        <f>SUM(I441)</f>
        <v>200000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160929</v>
      </c>
      <c r="G13" s="18">
        <v>35267</v>
      </c>
      <c r="H13" s="18">
        <v>127934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5719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f>7536+126408</f>
        <v>133944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1162448</v>
      </c>
      <c r="G19" s="41">
        <f>SUM(G9:G18)</f>
        <v>35267</v>
      </c>
      <c r="H19" s="41">
        <f>SUM(H9:H18)</f>
        <v>127934</v>
      </c>
      <c r="I19" s="41">
        <f>SUM(I9:I18)</f>
        <v>0</v>
      </c>
      <c r="J19" s="41">
        <f>SUM(J9:J18)</f>
        <v>616095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34842</v>
      </c>
      <c r="H22" s="18">
        <f>82735-1441+2</f>
        <v>81296</v>
      </c>
      <c r="I22" s="18"/>
      <c r="J22" s="67">
        <f>SUM(I448)</f>
        <v>21441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231500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107478+8253</f>
        <v>115731</v>
      </c>
      <c r="G24" s="18">
        <v>425</v>
      </c>
      <c r="H24" s="18">
        <f>9476+178</f>
        <v>9654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2390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600000</v>
      </c>
      <c r="G30" s="18"/>
      <c r="H30" s="18">
        <v>35722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718121</v>
      </c>
      <c r="G32" s="41">
        <f>SUM(G22:G31)</f>
        <v>35267</v>
      </c>
      <c r="H32" s="41">
        <f>SUM(H22:H31)</f>
        <v>126672</v>
      </c>
      <c r="I32" s="41">
        <f>SUM(I22:I31)</f>
        <v>0</v>
      </c>
      <c r="J32" s="41">
        <f>SUM(J22:J31)</f>
        <v>252941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133944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177325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f>1778+3700-4216</f>
        <v>1262</v>
      </c>
      <c r="I48" s="18"/>
      <c r="J48" s="13">
        <f>SUM(I459)</f>
        <v>363154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136298+(13226228-13229468)</f>
        <v>133058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444327</v>
      </c>
      <c r="G51" s="41">
        <f>SUM(G35:G50)</f>
        <v>0</v>
      </c>
      <c r="H51" s="41">
        <f>SUM(H35:H50)</f>
        <v>1262</v>
      </c>
      <c r="I51" s="41">
        <f>SUM(I35:I50)</f>
        <v>0</v>
      </c>
      <c r="J51" s="41">
        <f>SUM(J35:J50)</f>
        <v>363154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1162448</v>
      </c>
      <c r="G52" s="41">
        <f>G51+G32</f>
        <v>35267</v>
      </c>
      <c r="H52" s="41">
        <f>H51+H32</f>
        <v>127934</v>
      </c>
      <c r="I52" s="41">
        <f>I51+I32</f>
        <v>0</v>
      </c>
      <c r="J52" s="41">
        <f>J51+J32</f>
        <v>616095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6338925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6338925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300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1011133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37839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1049272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2971+39491</f>
        <v>42462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91421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3652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9080</f>
        <v>9080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48646+3700</f>
        <v>52346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17001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2093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33682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41184</v>
      </c>
      <c r="G110" s="18">
        <v>10229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149154</v>
      </c>
      <c r="G111" s="41">
        <f>SUM(G96:G110)</f>
        <v>101650</v>
      </c>
      <c r="H111" s="41">
        <f>SUM(H96:H110)</f>
        <v>52346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7537351</v>
      </c>
      <c r="G112" s="41">
        <f>G60+G111</f>
        <v>101650</v>
      </c>
      <c r="H112" s="41">
        <f>H60+H79+H94+H111</f>
        <v>52346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3959494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754096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4713590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189753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264036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138142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17919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3594+3238</f>
        <v>6832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609850</v>
      </c>
      <c r="G136" s="41">
        <f>SUM(G123:G135)</f>
        <v>6832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5323440</v>
      </c>
      <c r="G140" s="41">
        <f>G121+SUM(G136:G137)</f>
        <v>6832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258305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25203+38271+57656</f>
        <v>121130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6437+19515+100465+2717</f>
        <v>129134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332512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332512</v>
      </c>
      <c r="G162" s="41">
        <f>SUM(G150:G161)</f>
        <v>129134</v>
      </c>
      <c r="H162" s="41">
        <f>SUM(H150:H161)</f>
        <v>379435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1425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333937</v>
      </c>
      <c r="G169" s="41">
        <f>G147+G162+SUM(G163:G168)</f>
        <v>129134</v>
      </c>
      <c r="H169" s="41">
        <f>H147+H162+SUM(H163:H168)</f>
        <v>379435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50672</v>
      </c>
      <c r="H179" s="18"/>
      <c r="I179" s="18"/>
      <c r="J179" s="18">
        <v>100000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50672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31500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31500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31500</v>
      </c>
      <c r="G192" s="41">
        <f>G183+SUM(G188:G191)</f>
        <v>50672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13226228</v>
      </c>
      <c r="G193" s="47">
        <f>G112+G140+G169+G192</f>
        <v>288288</v>
      </c>
      <c r="H193" s="47">
        <f>H112+H140+H169+H192</f>
        <v>431781</v>
      </c>
      <c r="I193" s="47">
        <f>I112+I140+I169+I192</f>
        <v>0</v>
      </c>
      <c r="J193" s="47">
        <f>J112+J140+J192</f>
        <v>100000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800674</v>
      </c>
      <c r="G197" s="18">
        <v>362209</v>
      </c>
      <c r="H197" s="18">
        <f>64344</f>
        <v>64344</v>
      </c>
      <c r="I197" s="18">
        <f>38202</f>
        <v>38202</v>
      </c>
      <c r="J197" s="18">
        <v>659</v>
      </c>
      <c r="K197" s="18">
        <v>7624</v>
      </c>
      <c r="L197" s="19">
        <f>SUM(F197:K197)</f>
        <v>1273712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365571</v>
      </c>
      <c r="G198" s="18">
        <v>177082</v>
      </c>
      <c r="H198" s="18">
        <v>38499</v>
      </c>
      <c r="I198" s="18">
        <v>3645</v>
      </c>
      <c r="J198" s="18">
        <v>3487</v>
      </c>
      <c r="K198" s="18">
        <v>37</v>
      </c>
      <c r="L198" s="19">
        <f>SUM(F198:K198)</f>
        <v>588321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16037</v>
      </c>
      <c r="G200" s="18">
        <v>3290</v>
      </c>
      <c r="H200" s="18"/>
      <c r="I200" s="18"/>
      <c r="J200" s="18"/>
      <c r="K200" s="18"/>
      <c r="L200" s="19">
        <f>SUM(F200:K200)</f>
        <v>19327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125593</v>
      </c>
      <c r="G202" s="18">
        <v>69663</v>
      </c>
      <c r="H202" s="18">
        <f>170984+2201+97</f>
        <v>173282</v>
      </c>
      <c r="I202" s="18">
        <v>3572</v>
      </c>
      <c r="J202" s="18"/>
      <c r="K202" s="18">
        <v>21</v>
      </c>
      <c r="L202" s="19">
        <f t="shared" ref="L202:L208" si="0">SUM(F202:K202)</f>
        <v>372131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24135</v>
      </c>
      <c r="G203" s="18">
        <v>22647</v>
      </c>
      <c r="H203" s="18">
        <f>685</f>
        <v>685</v>
      </c>
      <c r="I203" s="18">
        <v>989</v>
      </c>
      <c r="J203" s="18">
        <v>6064</v>
      </c>
      <c r="K203" s="18"/>
      <c r="L203" s="19">
        <f t="shared" si="0"/>
        <v>54520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3084</v>
      </c>
      <c r="G204" s="18">
        <v>243</v>
      </c>
      <c r="H204" s="18">
        <f>205587+9746</f>
        <v>215333</v>
      </c>
      <c r="I204" s="18">
        <v>98</v>
      </c>
      <c r="J204" s="18"/>
      <c r="K204" s="18">
        <v>1133</v>
      </c>
      <c r="L204" s="19">
        <f t="shared" si="0"/>
        <v>219891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74346</v>
      </c>
      <c r="G205" s="18">
        <v>40496</v>
      </c>
      <c r="H205" s="18">
        <f>4059</f>
        <v>4059</v>
      </c>
      <c r="I205" s="18">
        <v>629</v>
      </c>
      <c r="J205" s="18"/>
      <c r="K205" s="18">
        <v>675</v>
      </c>
      <c r="L205" s="19">
        <f t="shared" si="0"/>
        <v>120205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13687</v>
      </c>
      <c r="L206" s="19">
        <f t="shared" si="0"/>
        <v>13687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45288</v>
      </c>
      <c r="G207" s="18">
        <v>16259</v>
      </c>
      <c r="H207" s="18">
        <f>21906+121495+3691</f>
        <v>147092</v>
      </c>
      <c r="I207" s="18">
        <v>70137</v>
      </c>
      <c r="J207" s="18">
        <v>2471</v>
      </c>
      <c r="K207" s="18">
        <v>1044</v>
      </c>
      <c r="L207" s="19">
        <f t="shared" si="0"/>
        <v>282291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8694</v>
      </c>
      <c r="G208" s="18">
        <v>4463</v>
      </c>
      <c r="H208" s="18">
        <f>264+1081+98838</f>
        <v>100183</v>
      </c>
      <c r="I208" s="18">
        <v>963</v>
      </c>
      <c r="J208" s="18"/>
      <c r="K208" s="18">
        <v>41</v>
      </c>
      <c r="L208" s="19">
        <f t="shared" si="0"/>
        <v>114344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f>6255+7466</f>
        <v>13721</v>
      </c>
      <c r="I209" s="18"/>
      <c r="J209" s="18"/>
      <c r="K209" s="18"/>
      <c r="L209" s="19">
        <f>SUM(F209:K209)</f>
        <v>13721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1463422</v>
      </c>
      <c r="G211" s="41">
        <f t="shared" si="1"/>
        <v>696352</v>
      </c>
      <c r="H211" s="41">
        <f t="shared" si="1"/>
        <v>757198</v>
      </c>
      <c r="I211" s="41">
        <f t="shared" si="1"/>
        <v>118235</v>
      </c>
      <c r="J211" s="41">
        <f t="shared" si="1"/>
        <v>12681</v>
      </c>
      <c r="K211" s="41">
        <f t="shared" si="1"/>
        <v>24262</v>
      </c>
      <c r="L211" s="41">
        <f t="shared" si="1"/>
        <v>3072150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1230908</v>
      </c>
      <c r="G215" s="18">
        <v>572815</v>
      </c>
      <c r="H215" s="18">
        <v>1644</v>
      </c>
      <c r="I215" s="18">
        <v>60105</v>
      </c>
      <c r="J215" s="18">
        <v>2739</v>
      </c>
      <c r="K215" s="18">
        <v>1913</v>
      </c>
      <c r="L215" s="19">
        <f>SUM(F215:K215)</f>
        <v>1870124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425230</v>
      </c>
      <c r="G216" s="18">
        <v>213900</v>
      </c>
      <c r="H216" s="18">
        <f>37170+228720</f>
        <v>265890</v>
      </c>
      <c r="I216" s="18">
        <v>3252</v>
      </c>
      <c r="J216" s="18"/>
      <c r="K216" s="18">
        <v>48</v>
      </c>
      <c r="L216" s="19">
        <f>SUM(F216:K216)</f>
        <v>908320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61091</v>
      </c>
      <c r="G218" s="18">
        <v>20758</v>
      </c>
      <c r="H218" s="18">
        <f>9320+1662+2185</f>
        <v>13167</v>
      </c>
      <c r="I218" s="18">
        <v>11232</v>
      </c>
      <c r="J218" s="18"/>
      <c r="K218" s="18">
        <v>1700</v>
      </c>
      <c r="L218" s="19">
        <f>SUM(F218:K218)</f>
        <v>107948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138436</v>
      </c>
      <c r="G220" s="18">
        <v>75322</v>
      </c>
      <c r="H220" s="18">
        <f>119400+2387+345</f>
        <v>122132</v>
      </c>
      <c r="I220" s="18">
        <v>5082</v>
      </c>
      <c r="J220" s="18"/>
      <c r="K220" s="18">
        <v>1557</v>
      </c>
      <c r="L220" s="19">
        <f t="shared" ref="L220:L226" si="2">SUM(F220:K220)</f>
        <v>342529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68563</v>
      </c>
      <c r="G221" s="18">
        <v>39263</v>
      </c>
      <c r="H221" s="18">
        <f>2401+6586</f>
        <v>8987</v>
      </c>
      <c r="I221" s="18">
        <v>1390</v>
      </c>
      <c r="J221" s="18">
        <v>19409</v>
      </c>
      <c r="K221" s="18"/>
      <c r="L221" s="19">
        <f t="shared" si="2"/>
        <v>137612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3453</v>
      </c>
      <c r="G222" s="18">
        <v>273</v>
      </c>
      <c r="H222" s="18">
        <f>260245+12345</f>
        <v>272590</v>
      </c>
      <c r="I222" s="18">
        <v>123</v>
      </c>
      <c r="J222" s="18"/>
      <c r="K222" s="18">
        <v>1435</v>
      </c>
      <c r="L222" s="19">
        <f t="shared" si="2"/>
        <v>277874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220605</v>
      </c>
      <c r="G223" s="18">
        <v>108550</v>
      </c>
      <c r="H223" s="18">
        <f>175+4768</f>
        <v>4943</v>
      </c>
      <c r="I223" s="18">
        <v>3029</v>
      </c>
      <c r="J223" s="18"/>
      <c r="K223" s="18">
        <v>2633</v>
      </c>
      <c r="L223" s="19">
        <f t="shared" si="2"/>
        <v>339760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77681</v>
      </c>
      <c r="G225" s="18">
        <v>32182</v>
      </c>
      <c r="H225" s="18">
        <f>24628+145570+4853</f>
        <v>175051</v>
      </c>
      <c r="I225" s="18">
        <v>84753</v>
      </c>
      <c r="J225" s="18">
        <v>1186</v>
      </c>
      <c r="K225" s="18">
        <v>106</v>
      </c>
      <c r="L225" s="19">
        <f t="shared" si="2"/>
        <v>370959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9555</v>
      </c>
      <c r="G226" s="18">
        <v>5259</v>
      </c>
      <c r="H226" s="18">
        <f>334+1370+143549</f>
        <v>145253</v>
      </c>
      <c r="I226" s="18">
        <v>1220</v>
      </c>
      <c r="J226" s="18"/>
      <c r="K226" s="18">
        <v>51</v>
      </c>
      <c r="L226" s="19">
        <f t="shared" si="2"/>
        <v>161338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f>23388+7803</f>
        <v>31191</v>
      </c>
      <c r="I227" s="18">
        <v>1170</v>
      </c>
      <c r="J227" s="18"/>
      <c r="K227" s="18"/>
      <c r="L227" s="19">
        <f>SUM(F227:K227)</f>
        <v>32361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2235522</v>
      </c>
      <c r="G229" s="41">
        <f>SUM(G215:G228)</f>
        <v>1068322</v>
      </c>
      <c r="H229" s="41">
        <f>SUM(H215:H228)</f>
        <v>1040848</v>
      </c>
      <c r="I229" s="41">
        <f>SUM(I215:I228)</f>
        <v>171356</v>
      </c>
      <c r="J229" s="41">
        <f>SUM(J215:J228)</f>
        <v>23334</v>
      </c>
      <c r="K229" s="41">
        <f t="shared" si="3"/>
        <v>9443</v>
      </c>
      <c r="L229" s="41">
        <f t="shared" si="3"/>
        <v>4548825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1017208+1</f>
        <v>1017209</v>
      </c>
      <c r="G233" s="18">
        <v>516550</v>
      </c>
      <c r="H233" s="18">
        <f>50+2667</f>
        <v>2717</v>
      </c>
      <c r="I233" s="18">
        <v>50772</v>
      </c>
      <c r="J233" s="18">
        <v>6673</v>
      </c>
      <c r="K233" s="18">
        <v>3541</v>
      </c>
      <c r="L233" s="19">
        <f>SUM(F233:K233)</f>
        <v>1597462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356123</v>
      </c>
      <c r="G234" s="18">
        <v>219931</v>
      </c>
      <c r="H234" s="18">
        <f>161760+587296</f>
        <v>749056</v>
      </c>
      <c r="I234" s="18">
        <v>3052</v>
      </c>
      <c r="J234" s="18">
        <v>188</v>
      </c>
      <c r="K234" s="18">
        <v>40</v>
      </c>
      <c r="L234" s="19">
        <f>SUM(F234:K234)</f>
        <v>1328390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350609</f>
        <v>350609</v>
      </c>
      <c r="I235" s="18"/>
      <c r="J235" s="18"/>
      <c r="K235" s="18"/>
      <c r="L235" s="19">
        <f>SUM(F235:K235)</f>
        <v>350609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87988</v>
      </c>
      <c r="G236" s="18">
        <v>14047</v>
      </c>
      <c r="H236" s="18">
        <f>16873+187+11493</f>
        <v>28553</v>
      </c>
      <c r="I236" s="18">
        <v>7865</v>
      </c>
      <c r="J236" s="18"/>
      <c r="K236" s="18">
        <v>6878</v>
      </c>
      <c r="L236" s="19">
        <f>SUM(F236:K236)</f>
        <v>145331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150099</v>
      </c>
      <c r="G238" s="18">
        <v>67400</v>
      </c>
      <c r="H238" s="18">
        <f>84972+2211+4789</f>
        <v>91972</v>
      </c>
      <c r="I238" s="18">
        <v>4557</v>
      </c>
      <c r="J238" s="18"/>
      <c r="K238" s="18">
        <v>606</v>
      </c>
      <c r="L238" s="19">
        <f t="shared" ref="L238:L244" si="4">SUM(F238:K238)</f>
        <v>314634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51608</v>
      </c>
      <c r="G239" s="18">
        <v>18335</v>
      </c>
      <c r="H239" s="18">
        <f>1782</f>
        <v>1782</v>
      </c>
      <c r="I239" s="18">
        <v>1387</v>
      </c>
      <c r="J239" s="18">
        <v>11957</v>
      </c>
      <c r="K239" s="18"/>
      <c r="L239" s="19">
        <f t="shared" si="4"/>
        <v>85069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3113</v>
      </c>
      <c r="G240" s="18">
        <v>247</v>
      </c>
      <c r="H240" s="18">
        <f>219154+10396</f>
        <v>229550</v>
      </c>
      <c r="I240" s="18">
        <v>104</v>
      </c>
      <c r="J240" s="18"/>
      <c r="K240" s="18">
        <v>1208</v>
      </c>
      <c r="L240" s="19">
        <f t="shared" si="4"/>
        <v>234222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239595</v>
      </c>
      <c r="G241" s="18">
        <v>106740</v>
      </c>
      <c r="H241" s="18">
        <f>400+549+11350</f>
        <v>12299</v>
      </c>
      <c r="I241" s="18">
        <v>4789</v>
      </c>
      <c r="J241" s="18">
        <v>429</v>
      </c>
      <c r="K241" s="18">
        <v>1903</v>
      </c>
      <c r="L241" s="19">
        <f t="shared" si="4"/>
        <v>365755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79130</v>
      </c>
      <c r="G243" s="18">
        <v>24730</v>
      </c>
      <c r="H243" s="18">
        <f>26031+141569+3937</f>
        <v>171537</v>
      </c>
      <c r="I243" s="18">
        <v>121750</v>
      </c>
      <c r="J243" s="18">
        <v>1760</v>
      </c>
      <c r="K243" s="18">
        <v>65</v>
      </c>
      <c r="L243" s="19">
        <f t="shared" si="4"/>
        <v>398972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8264</v>
      </c>
      <c r="G244" s="18">
        <v>4548</v>
      </c>
      <c r="H244" s="18">
        <f>282+1153+175341</f>
        <v>176776</v>
      </c>
      <c r="I244" s="18">
        <v>1028</v>
      </c>
      <c r="J244" s="18"/>
      <c r="K244" s="18">
        <v>43</v>
      </c>
      <c r="L244" s="19">
        <f t="shared" si="4"/>
        <v>190659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f>5437+27523</f>
        <v>32960</v>
      </c>
      <c r="I245" s="18">
        <v>1056</v>
      </c>
      <c r="J245" s="18"/>
      <c r="K245" s="18"/>
      <c r="L245" s="19">
        <f>SUM(F245:K245)</f>
        <v>34016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1993129</v>
      </c>
      <c r="G247" s="41">
        <f t="shared" si="5"/>
        <v>972528</v>
      </c>
      <c r="H247" s="41">
        <f t="shared" si="5"/>
        <v>1847811</v>
      </c>
      <c r="I247" s="41">
        <f t="shared" si="5"/>
        <v>196360</v>
      </c>
      <c r="J247" s="41">
        <f t="shared" si="5"/>
        <v>21007</v>
      </c>
      <c r="K247" s="41">
        <f t="shared" si="5"/>
        <v>14284</v>
      </c>
      <c r="L247" s="41">
        <f t="shared" si="5"/>
        <v>5045119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8917</v>
      </c>
      <c r="G253" s="18">
        <v>10466</v>
      </c>
      <c r="H253" s="18">
        <v>1124</v>
      </c>
      <c r="I253" s="18">
        <v>427</v>
      </c>
      <c r="J253" s="18"/>
      <c r="K253" s="18"/>
      <c r="L253" s="19">
        <f t="shared" si="6"/>
        <v>20934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8917</v>
      </c>
      <c r="G256" s="41">
        <f t="shared" si="7"/>
        <v>10466</v>
      </c>
      <c r="H256" s="41">
        <f t="shared" si="7"/>
        <v>1124</v>
      </c>
      <c r="I256" s="41">
        <f t="shared" si="7"/>
        <v>427</v>
      </c>
      <c r="J256" s="41">
        <f t="shared" si="7"/>
        <v>0</v>
      </c>
      <c r="K256" s="41">
        <f t="shared" si="7"/>
        <v>0</v>
      </c>
      <c r="L256" s="41">
        <f>SUM(F256:K256)</f>
        <v>20934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5700990</v>
      </c>
      <c r="G257" s="41">
        <f t="shared" si="8"/>
        <v>2747668</v>
      </c>
      <c r="H257" s="41">
        <f t="shared" si="8"/>
        <v>3646981</v>
      </c>
      <c r="I257" s="41">
        <f t="shared" si="8"/>
        <v>486378</v>
      </c>
      <c r="J257" s="41">
        <f t="shared" si="8"/>
        <v>57022</v>
      </c>
      <c r="K257" s="41">
        <f t="shared" si="8"/>
        <v>47989</v>
      </c>
      <c r="L257" s="41">
        <f t="shared" si="8"/>
        <v>12687028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377749</v>
      </c>
      <c r="L260" s="19">
        <f>SUM(F260:K260)</f>
        <v>377749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14019</v>
      </c>
      <c r="L261" s="19">
        <f>SUM(F261:K261)</f>
        <v>14019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50672</v>
      </c>
      <c r="L263" s="19">
        <f>SUM(F263:K263)</f>
        <v>50672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542440</v>
      </c>
      <c r="L270" s="41">
        <f t="shared" si="9"/>
        <v>542440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5700990</v>
      </c>
      <c r="G271" s="42">
        <f t="shared" si="11"/>
        <v>2747668</v>
      </c>
      <c r="H271" s="42">
        <f t="shared" si="11"/>
        <v>3646981</v>
      </c>
      <c r="I271" s="42">
        <f t="shared" si="11"/>
        <v>486378</v>
      </c>
      <c r="J271" s="42">
        <f t="shared" si="11"/>
        <v>57022</v>
      </c>
      <c r="K271" s="42">
        <f t="shared" si="11"/>
        <v>590429</v>
      </c>
      <c r="L271" s="42">
        <f t="shared" si="11"/>
        <v>13229468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138584-1</f>
        <v>138583</v>
      </c>
      <c r="G276" s="18">
        <v>57607</v>
      </c>
      <c r="H276" s="18">
        <v>746</v>
      </c>
      <c r="I276" s="18"/>
      <c r="J276" s="18">
        <f>17437+6774</f>
        <v>24211</v>
      </c>
      <c r="K276" s="18"/>
      <c r="L276" s="19">
        <f>SUM(F276:K276)</f>
        <v>221147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>
        <v>601</v>
      </c>
      <c r="H279" s="18"/>
      <c r="I279" s="18">
        <v>27</v>
      </c>
      <c r="J279" s="18"/>
      <c r="K279" s="18"/>
      <c r="L279" s="19">
        <f>SUM(F279:K279)</f>
        <v>628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8496</v>
      </c>
      <c r="G282" s="18"/>
      <c r="H282" s="18">
        <f>11350+8577</f>
        <v>19927</v>
      </c>
      <c r="I282" s="18"/>
      <c r="J282" s="18"/>
      <c r="K282" s="18"/>
      <c r="L282" s="19">
        <f t="shared" si="12"/>
        <v>28423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5805</v>
      </c>
      <c r="L283" s="19">
        <f t="shared" si="12"/>
        <v>5805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147079</v>
      </c>
      <c r="G290" s="42">
        <f t="shared" si="13"/>
        <v>58208</v>
      </c>
      <c r="H290" s="42">
        <f t="shared" si="13"/>
        <v>20673</v>
      </c>
      <c r="I290" s="42">
        <f t="shared" si="13"/>
        <v>27</v>
      </c>
      <c r="J290" s="42">
        <f t="shared" si="13"/>
        <v>24211</v>
      </c>
      <c r="K290" s="42">
        <f t="shared" si="13"/>
        <v>5805</v>
      </c>
      <c r="L290" s="41">
        <f t="shared" si="13"/>
        <v>256003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39995+1</f>
        <v>39996</v>
      </c>
      <c r="G295" s="18">
        <v>27809</v>
      </c>
      <c r="H295" s="18"/>
      <c r="I295" s="18"/>
      <c r="J295" s="18">
        <v>6774</v>
      </c>
      <c r="K295" s="18"/>
      <c r="L295" s="19">
        <f>SUM(F295:K295)</f>
        <v>74579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7312</v>
      </c>
      <c r="G298" s="18">
        <v>2900</v>
      </c>
      <c r="H298" s="18">
        <v>1106</v>
      </c>
      <c r="I298" s="18"/>
      <c r="J298" s="18"/>
      <c r="K298" s="18"/>
      <c r="L298" s="19">
        <f>SUM(F298:K298)</f>
        <v>11318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100</v>
      </c>
      <c r="G301" s="18">
        <v>23</v>
      </c>
      <c r="H301" s="18">
        <v>5250</v>
      </c>
      <c r="I301" s="18"/>
      <c r="J301" s="18"/>
      <c r="K301" s="18"/>
      <c r="L301" s="19">
        <f t="shared" si="14"/>
        <v>5373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35906</v>
      </c>
      <c r="G303" s="18">
        <v>21750</v>
      </c>
      <c r="H303" s="18"/>
      <c r="I303" s="18"/>
      <c r="J303" s="18"/>
      <c r="K303" s="18"/>
      <c r="L303" s="19">
        <f t="shared" si="14"/>
        <v>57656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83314</v>
      </c>
      <c r="G309" s="42">
        <f t="shared" si="15"/>
        <v>52482</v>
      </c>
      <c r="H309" s="42">
        <f t="shared" si="15"/>
        <v>6356</v>
      </c>
      <c r="I309" s="42">
        <f t="shared" si="15"/>
        <v>0</v>
      </c>
      <c r="J309" s="42">
        <f t="shared" si="15"/>
        <v>6774</v>
      </c>
      <c r="K309" s="42">
        <f t="shared" si="15"/>
        <v>0</v>
      </c>
      <c r="L309" s="41">
        <f t="shared" si="15"/>
        <v>148926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f>500+227</f>
        <v>727</v>
      </c>
      <c r="I314" s="18">
        <v>1537</v>
      </c>
      <c r="J314" s="18">
        <v>7007</v>
      </c>
      <c r="K314" s="18"/>
      <c r="L314" s="19">
        <f>SUM(F314:K314)</f>
        <v>9271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f>5903-1</f>
        <v>5902</v>
      </c>
      <c r="G317" s="18">
        <v>1152</v>
      </c>
      <c r="H317" s="18"/>
      <c r="I317" s="18">
        <v>2641</v>
      </c>
      <c r="J317" s="18"/>
      <c r="K317" s="18"/>
      <c r="L317" s="19">
        <f>SUM(F317:K317)</f>
        <v>9695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560</v>
      </c>
      <c r="G319" s="18">
        <v>105</v>
      </c>
      <c r="H319" s="18">
        <f>150+22</f>
        <v>172</v>
      </c>
      <c r="I319" s="18">
        <v>3474</v>
      </c>
      <c r="J319" s="18"/>
      <c r="K319" s="18">
        <v>2914</v>
      </c>
      <c r="L319" s="19">
        <f t="shared" ref="L319:L325" si="16">SUM(F319:K319)</f>
        <v>7225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1177</v>
      </c>
      <c r="I325" s="18"/>
      <c r="J325" s="18"/>
      <c r="K325" s="18"/>
      <c r="L325" s="19">
        <f t="shared" si="16"/>
        <v>1177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6462</v>
      </c>
      <c r="G328" s="42">
        <f t="shared" si="17"/>
        <v>1257</v>
      </c>
      <c r="H328" s="42">
        <f t="shared" si="17"/>
        <v>2076</v>
      </c>
      <c r="I328" s="42">
        <f t="shared" si="17"/>
        <v>7652</v>
      </c>
      <c r="J328" s="42">
        <f t="shared" si="17"/>
        <v>7007</v>
      </c>
      <c r="K328" s="42">
        <f t="shared" si="17"/>
        <v>2914</v>
      </c>
      <c r="L328" s="41">
        <f t="shared" si="17"/>
        <v>27368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236855</v>
      </c>
      <c r="G338" s="41">
        <f t="shared" si="20"/>
        <v>111947</v>
      </c>
      <c r="H338" s="41">
        <f t="shared" si="20"/>
        <v>29105</v>
      </c>
      <c r="I338" s="41">
        <f t="shared" si="20"/>
        <v>7679</v>
      </c>
      <c r="J338" s="41">
        <f t="shared" si="20"/>
        <v>37992</v>
      </c>
      <c r="K338" s="41">
        <f t="shared" si="20"/>
        <v>8719</v>
      </c>
      <c r="L338" s="41">
        <f t="shared" si="20"/>
        <v>432297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236855</v>
      </c>
      <c r="G352" s="41">
        <f>G338</f>
        <v>111947</v>
      </c>
      <c r="H352" s="41">
        <f>H338</f>
        <v>29105</v>
      </c>
      <c r="I352" s="41">
        <f>I338</f>
        <v>7679</v>
      </c>
      <c r="J352" s="41">
        <f>J338</f>
        <v>37992</v>
      </c>
      <c r="K352" s="47">
        <f>K338+K351</f>
        <v>8719</v>
      </c>
      <c r="L352" s="41">
        <f>L338+L351</f>
        <v>432297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79007</f>
        <v>79007</v>
      </c>
      <c r="I358" s="18"/>
      <c r="J358" s="18">
        <v>1142</v>
      </c>
      <c r="K358" s="18">
        <v>255</v>
      </c>
      <c r="L358" s="13">
        <f>SUM(F358:K358)</f>
        <v>80404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19669</v>
      </c>
      <c r="G359" s="18">
        <v>11443</v>
      </c>
      <c r="H359" s="18">
        <v>95025</v>
      </c>
      <c r="I359" s="18"/>
      <c r="J359" s="18">
        <v>1097</v>
      </c>
      <c r="K359" s="18">
        <v>310</v>
      </c>
      <c r="L359" s="19">
        <f>SUM(F359:K359)</f>
        <v>127544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80021+59</f>
        <v>80080</v>
      </c>
      <c r="I360" s="18"/>
      <c r="J360" s="18"/>
      <c r="K360" s="18">
        <v>260</v>
      </c>
      <c r="L360" s="19">
        <f>SUM(F360:K360)</f>
        <v>80340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19669</v>
      </c>
      <c r="G362" s="47">
        <f t="shared" si="22"/>
        <v>11443</v>
      </c>
      <c r="H362" s="47">
        <f t="shared" si="22"/>
        <v>254112</v>
      </c>
      <c r="I362" s="47">
        <f t="shared" si="22"/>
        <v>0</v>
      </c>
      <c r="J362" s="47">
        <f t="shared" si="22"/>
        <v>2239</v>
      </c>
      <c r="K362" s="47">
        <f t="shared" si="22"/>
        <v>825</v>
      </c>
      <c r="L362" s="47">
        <f t="shared" si="22"/>
        <v>288288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</v>
      </c>
      <c r="H396" s="18"/>
      <c r="I396" s="18"/>
      <c r="J396" s="24" t="s">
        <v>288</v>
      </c>
      <c r="K396" s="24" t="s">
        <v>288</v>
      </c>
      <c r="L396" s="56">
        <f t="shared" si="26"/>
        <v>50000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/>
      <c r="I397" s="18"/>
      <c r="J397" s="24" t="s">
        <v>288</v>
      </c>
      <c r="K397" s="24" t="s">
        <v>288</v>
      </c>
      <c r="L397" s="56">
        <f t="shared" si="26"/>
        <v>50000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>
        <v>31500</v>
      </c>
      <c r="L425" s="56">
        <f t="shared" si="29"/>
        <v>31500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271</v>
      </c>
      <c r="L426" s="56">
        <f t="shared" si="29"/>
        <v>271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31771</v>
      </c>
      <c r="L427" s="47">
        <f t="shared" si="30"/>
        <v>31771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31771</v>
      </c>
      <c r="L434" s="47">
        <f t="shared" si="32"/>
        <v>31771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416095</v>
      </c>
      <c r="H440" s="18"/>
      <c r="I440" s="56">
        <f t="shared" si="33"/>
        <v>416095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200000</v>
      </c>
      <c r="H441" s="18"/>
      <c r="I441" s="56">
        <f t="shared" si="33"/>
        <v>200000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616095</v>
      </c>
      <c r="H446" s="13">
        <f>SUM(H439:H445)</f>
        <v>0</v>
      </c>
      <c r="I446" s="13">
        <f>SUM(I439:I445)</f>
        <v>616095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21441</v>
      </c>
      <c r="H448" s="18"/>
      <c r="I448" s="56">
        <f>SUM(F448:H448)</f>
        <v>21441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231500</v>
      </c>
      <c r="H449" s="18"/>
      <c r="I449" s="56">
        <f>SUM(F449:H449)</f>
        <v>231500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252941</v>
      </c>
      <c r="H452" s="72">
        <f>SUM(H448:H451)</f>
        <v>0</v>
      </c>
      <c r="I452" s="72">
        <f>SUM(I448:I451)</f>
        <v>252941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294925+(100000-31771)</f>
        <v>363154</v>
      </c>
      <c r="H459" s="18"/>
      <c r="I459" s="56">
        <f t="shared" si="34"/>
        <v>363154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363154</v>
      </c>
      <c r="H460" s="83">
        <f>SUM(H454:H459)</f>
        <v>0</v>
      </c>
      <c r="I460" s="83">
        <f>SUM(I454:I459)</f>
        <v>363154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616095</v>
      </c>
      <c r="H461" s="42">
        <f>H452+H460</f>
        <v>0</v>
      </c>
      <c r="I461" s="42">
        <f>I452+I460</f>
        <v>616095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180362+100000+180877-102036+88364</f>
        <v>447567</v>
      </c>
      <c r="G465" s="18">
        <v>0</v>
      </c>
      <c r="H465" s="18">
        <f>1778</f>
        <v>1778</v>
      </c>
      <c r="I465" s="18">
        <v>0</v>
      </c>
      <c r="J465" s="18">
        <v>294925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13226228</f>
        <v>13226228</v>
      </c>
      <c r="G468" s="18">
        <v>288288</v>
      </c>
      <c r="H468" s="18">
        <f>428081+3700</f>
        <v>431781</v>
      </c>
      <c r="I468" s="18">
        <v>0</v>
      </c>
      <c r="J468" s="18">
        <v>100000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13226228</v>
      </c>
      <c r="G470" s="53">
        <f>SUM(G468:G469)</f>
        <v>288288</v>
      </c>
      <c r="H470" s="53">
        <f>SUM(H468:H469)</f>
        <v>431781</v>
      </c>
      <c r="I470" s="53">
        <f>SUM(I468:I469)</f>
        <v>0</v>
      </c>
      <c r="J470" s="53">
        <f>SUM(J468:J469)</f>
        <v>100000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13229468</v>
      </c>
      <c r="G472" s="18">
        <v>288288</v>
      </c>
      <c r="H472" s="18">
        <f>428081+4216</f>
        <v>432297</v>
      </c>
      <c r="I472" s="18">
        <v>0</v>
      </c>
      <c r="J472" s="18">
        <v>31771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13229468</v>
      </c>
      <c r="G474" s="53">
        <f>SUM(G472:G473)</f>
        <v>288288</v>
      </c>
      <c r="H474" s="53">
        <f>SUM(H472:H473)</f>
        <v>432297</v>
      </c>
      <c r="I474" s="53">
        <f>SUM(I472:I473)</f>
        <v>0</v>
      </c>
      <c r="J474" s="53">
        <f>SUM(J472:J473)</f>
        <v>31771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444327</v>
      </c>
      <c r="G476" s="53">
        <f>(G465+G470)- G474</f>
        <v>0</v>
      </c>
      <c r="H476" s="53">
        <f>(H465+H470)- H474</f>
        <v>1262</v>
      </c>
      <c r="I476" s="53">
        <f>(I465+I470)- I474</f>
        <v>0</v>
      </c>
      <c r="J476" s="53">
        <f>(J465+J470)- J474</f>
        <v>363154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>
        <v>15</v>
      </c>
      <c r="H490" s="154">
        <v>10</v>
      </c>
      <c r="I490" s="154">
        <v>14</v>
      </c>
      <c r="J490" s="154">
        <v>5</v>
      </c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913</v>
      </c>
      <c r="H491" s="155" t="s">
        <v>914</v>
      </c>
      <c r="I491" s="155" t="s">
        <v>915</v>
      </c>
      <c r="J491" s="155" t="s">
        <v>916</v>
      </c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917</v>
      </c>
      <c r="G492" s="155" t="s">
        <v>918</v>
      </c>
      <c r="H492" s="155" t="s">
        <v>919</v>
      </c>
      <c r="I492" s="155" t="s">
        <v>920</v>
      </c>
      <c r="J492" s="155" t="s">
        <v>921</v>
      </c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500000</v>
      </c>
      <c r="G493" s="18">
        <v>1694000</v>
      </c>
      <c r="H493" s="18">
        <v>605000</v>
      </c>
      <c r="I493" s="18">
        <v>1498000</v>
      </c>
      <c r="J493" s="18">
        <v>73535.149999999994</v>
      </c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0</v>
      </c>
      <c r="G494" s="18">
        <v>0</v>
      </c>
      <c r="H494" s="18">
        <v>4.5</v>
      </c>
      <c r="I494" s="18">
        <v>0</v>
      </c>
      <c r="J494" s="18">
        <v>2.25</v>
      </c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100000.04</v>
      </c>
      <c r="G495" s="18">
        <v>607600.03</v>
      </c>
      <c r="H495" s="18">
        <v>181500</v>
      </c>
      <c r="I495" s="18">
        <v>749000</v>
      </c>
      <c r="J495" s="18">
        <v>14757</v>
      </c>
      <c r="K495" s="53">
        <f>SUM(F495:J495)</f>
        <v>1652857.07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33333.33</v>
      </c>
      <c r="G497" s="18">
        <v>112933.33</v>
      </c>
      <c r="H497" s="18">
        <v>60500</v>
      </c>
      <c r="I497" s="18">
        <v>107000</v>
      </c>
      <c r="J497" s="18">
        <v>14757</v>
      </c>
      <c r="K497" s="53">
        <f t="shared" si="35"/>
        <v>328523.66000000003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247286</v>
      </c>
      <c r="G521" s="18">
        <v>133813</v>
      </c>
      <c r="H521" s="18">
        <f>38499</f>
        <v>38499</v>
      </c>
      <c r="I521" s="18">
        <v>2678</v>
      </c>
      <c r="J521" s="18">
        <v>3487</v>
      </c>
      <c r="K521" s="18">
        <v>38</v>
      </c>
      <c r="L521" s="88">
        <f>SUM(F521:K521)</f>
        <v>425801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402875</v>
      </c>
      <c r="G522" s="18">
        <v>205573</v>
      </c>
      <c r="H522" s="18">
        <f>37170+228720</f>
        <v>265890</v>
      </c>
      <c r="I522" s="18">
        <v>3252</v>
      </c>
      <c r="J522" s="18"/>
      <c r="K522" s="18">
        <v>47</v>
      </c>
      <c r="L522" s="88">
        <f>SUM(F522:K522)</f>
        <v>877637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344946</v>
      </c>
      <c r="G523" s="18">
        <v>215767</v>
      </c>
      <c r="H523" s="18">
        <f>161760+587296</f>
        <v>749056</v>
      </c>
      <c r="I523" s="18">
        <v>3052</v>
      </c>
      <c r="J523" s="18">
        <v>188</v>
      </c>
      <c r="K523" s="18">
        <v>40</v>
      </c>
      <c r="L523" s="88">
        <f>SUM(F523:K523)</f>
        <v>1313049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995107</v>
      </c>
      <c r="G524" s="108">
        <f t="shared" ref="G524:L524" si="36">SUM(G521:G523)</f>
        <v>555153</v>
      </c>
      <c r="H524" s="108">
        <f t="shared" si="36"/>
        <v>1053445</v>
      </c>
      <c r="I524" s="108">
        <f t="shared" si="36"/>
        <v>8982</v>
      </c>
      <c r="J524" s="108">
        <f t="shared" si="36"/>
        <v>3675</v>
      </c>
      <c r="K524" s="108">
        <f t="shared" si="36"/>
        <v>125</v>
      </c>
      <c r="L524" s="89">
        <f t="shared" si="36"/>
        <v>2616487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170929</v>
      </c>
      <c r="I526" s="18">
        <v>181</v>
      </c>
      <c r="J526" s="18"/>
      <c r="K526" s="18"/>
      <c r="L526" s="88">
        <f>SUM(F526:K526)</f>
        <v>171110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119400</v>
      </c>
      <c r="I527" s="18">
        <v>452</v>
      </c>
      <c r="J527" s="18"/>
      <c r="K527" s="18"/>
      <c r="L527" s="88">
        <f>SUM(F527:K527)</f>
        <v>119852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84972</v>
      </c>
      <c r="I528" s="18"/>
      <c r="J528" s="18"/>
      <c r="K528" s="18"/>
      <c r="L528" s="88">
        <f>SUM(F528:K528)</f>
        <v>84972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375301</v>
      </c>
      <c r="I529" s="89">
        <f t="shared" si="37"/>
        <v>633</v>
      </c>
      <c r="J529" s="89">
        <f t="shared" si="37"/>
        <v>0</v>
      </c>
      <c r="K529" s="89">
        <f t="shared" si="37"/>
        <v>0</v>
      </c>
      <c r="L529" s="89">
        <f t="shared" si="37"/>
        <v>375934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43671</v>
      </c>
      <c r="I531" s="18"/>
      <c r="J531" s="18"/>
      <c r="K531" s="18"/>
      <c r="L531" s="88">
        <f>SUM(F531:K531)</f>
        <v>43671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55317</v>
      </c>
      <c r="I532" s="18"/>
      <c r="J532" s="18"/>
      <c r="K532" s="18"/>
      <c r="L532" s="88">
        <f>SUM(F532:K532)</f>
        <v>55317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46582</v>
      </c>
      <c r="I533" s="18"/>
      <c r="J533" s="18"/>
      <c r="K533" s="18"/>
      <c r="L533" s="88">
        <f>SUM(F533:K533)</f>
        <v>46582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145570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145570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8694</v>
      </c>
      <c r="G541" s="18">
        <v>4463</v>
      </c>
      <c r="H541" s="18">
        <f>264+1081+3905</f>
        <v>5250</v>
      </c>
      <c r="I541" s="18">
        <v>963</v>
      </c>
      <c r="J541" s="18"/>
      <c r="K541" s="18">
        <v>41</v>
      </c>
      <c r="L541" s="88">
        <f>SUM(F541:K541)</f>
        <v>19411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9555</v>
      </c>
      <c r="G542" s="18">
        <v>5259</v>
      </c>
      <c r="H542" s="18">
        <f>334+1370+6778</f>
        <v>8482</v>
      </c>
      <c r="I542" s="18">
        <v>1220</v>
      </c>
      <c r="J542" s="18"/>
      <c r="K542" s="18">
        <v>51</v>
      </c>
      <c r="L542" s="88">
        <f>SUM(F542:K542)</f>
        <v>24567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8264</v>
      </c>
      <c r="G543" s="18">
        <v>4548</v>
      </c>
      <c r="H543" s="18">
        <f>282+1153+22896</f>
        <v>24331</v>
      </c>
      <c r="I543" s="18">
        <v>1028</v>
      </c>
      <c r="J543" s="18"/>
      <c r="K543" s="18">
        <v>43</v>
      </c>
      <c r="L543" s="88">
        <f>SUM(F543:K543)</f>
        <v>38214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26513</v>
      </c>
      <c r="G544" s="193">
        <f t="shared" ref="G544:L544" si="40">SUM(G541:G543)</f>
        <v>14270</v>
      </c>
      <c r="H544" s="193">
        <f t="shared" si="40"/>
        <v>38063</v>
      </c>
      <c r="I544" s="193">
        <f t="shared" si="40"/>
        <v>3211</v>
      </c>
      <c r="J544" s="193">
        <f t="shared" si="40"/>
        <v>0</v>
      </c>
      <c r="K544" s="193">
        <f t="shared" si="40"/>
        <v>135</v>
      </c>
      <c r="L544" s="193">
        <f t="shared" si="40"/>
        <v>82192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1021620</v>
      </c>
      <c r="G545" s="89">
        <f t="shared" ref="G545:L545" si="41">G524+G529+G534+G539+G544</f>
        <v>569423</v>
      </c>
      <c r="H545" s="89">
        <f t="shared" si="41"/>
        <v>1612379</v>
      </c>
      <c r="I545" s="89">
        <f t="shared" si="41"/>
        <v>12826</v>
      </c>
      <c r="J545" s="89">
        <f t="shared" si="41"/>
        <v>3675</v>
      </c>
      <c r="K545" s="89">
        <f t="shared" si="41"/>
        <v>260</v>
      </c>
      <c r="L545" s="89">
        <f t="shared" si="41"/>
        <v>3220183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425801</v>
      </c>
      <c r="G549" s="87">
        <f>L526</f>
        <v>171110</v>
      </c>
      <c r="H549" s="87">
        <f>L531</f>
        <v>43671</v>
      </c>
      <c r="I549" s="87">
        <f>L536</f>
        <v>0</v>
      </c>
      <c r="J549" s="87">
        <f>L541</f>
        <v>19411</v>
      </c>
      <c r="K549" s="87">
        <f>SUM(F549:J549)</f>
        <v>659993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877637</v>
      </c>
      <c r="G550" s="87">
        <f>L527</f>
        <v>119852</v>
      </c>
      <c r="H550" s="87">
        <f>L532</f>
        <v>55317</v>
      </c>
      <c r="I550" s="87">
        <f>L537</f>
        <v>0</v>
      </c>
      <c r="J550" s="87">
        <f>L542</f>
        <v>24567</v>
      </c>
      <c r="K550" s="87">
        <f>SUM(F550:J550)</f>
        <v>1077373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1313049</v>
      </c>
      <c r="G551" s="87">
        <f>L528</f>
        <v>84972</v>
      </c>
      <c r="H551" s="87">
        <f>L533</f>
        <v>46582</v>
      </c>
      <c r="I551" s="87">
        <f>L538</f>
        <v>0</v>
      </c>
      <c r="J551" s="87">
        <f>L543</f>
        <v>38214</v>
      </c>
      <c r="K551" s="87">
        <f>SUM(F551:J551)</f>
        <v>1482817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2616487</v>
      </c>
      <c r="G552" s="89">
        <f t="shared" si="42"/>
        <v>375934</v>
      </c>
      <c r="H552" s="89">
        <f t="shared" si="42"/>
        <v>145570</v>
      </c>
      <c r="I552" s="89">
        <f t="shared" si="42"/>
        <v>0</v>
      </c>
      <c r="J552" s="89">
        <f t="shared" si="42"/>
        <v>82192</v>
      </c>
      <c r="K552" s="89">
        <f t="shared" si="42"/>
        <v>3220183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22355</v>
      </c>
      <c r="G562" s="18">
        <v>8327</v>
      </c>
      <c r="H562" s="18"/>
      <c r="I562" s="18"/>
      <c r="J562" s="18"/>
      <c r="K562" s="18"/>
      <c r="L562" s="88">
        <f>SUM(F562:K562)</f>
        <v>30682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22355</v>
      </c>
      <c r="G563" s="18">
        <v>8327</v>
      </c>
      <c r="H563" s="18"/>
      <c r="I563" s="18"/>
      <c r="J563" s="18"/>
      <c r="K563" s="18"/>
      <c r="L563" s="88">
        <f>SUM(F563:K563)</f>
        <v>30682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f>11177+1</f>
        <v>11178</v>
      </c>
      <c r="G564" s="18">
        <v>4164</v>
      </c>
      <c r="H564" s="18"/>
      <c r="I564" s="18"/>
      <c r="J564" s="18"/>
      <c r="K564" s="18"/>
      <c r="L564" s="88">
        <f>SUM(F564:K564)</f>
        <v>15342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55888</v>
      </c>
      <c r="G565" s="89">
        <f t="shared" si="44"/>
        <v>20818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76706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55888</v>
      </c>
      <c r="G571" s="89">
        <f t="shared" ref="G571:L571" si="46">G560+G565+G570</f>
        <v>20818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76706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34663</v>
      </c>
      <c r="I579" s="87">
        <f t="shared" si="47"/>
        <v>34663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10296</v>
      </c>
      <c r="I581" s="87">
        <f t="shared" si="47"/>
        <v>10296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228720</v>
      </c>
      <c r="H582" s="18">
        <v>542337</v>
      </c>
      <c r="I582" s="87">
        <f t="shared" si="47"/>
        <v>771057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330609</v>
      </c>
      <c r="I585" s="87">
        <f t="shared" si="47"/>
        <v>330609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93494</v>
      </c>
      <c r="I591" s="18">
        <f>118426-1</f>
        <v>118425</v>
      </c>
      <c r="J591" s="18">
        <v>99727</v>
      </c>
      <c r="K591" s="104">
        <f t="shared" ref="K591:K597" si="48">SUM(H591:J591)</f>
        <v>311646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19411</v>
      </c>
      <c r="I592" s="18">
        <v>24568</v>
      </c>
      <c r="J592" s="18">
        <v>38214</v>
      </c>
      <c r="K592" s="104">
        <f t="shared" si="48"/>
        <v>82193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19478</v>
      </c>
      <c r="K593" s="104">
        <f t="shared" si="48"/>
        <v>19478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2392</v>
      </c>
      <c r="J594" s="18">
        <v>21309</v>
      </c>
      <c r="K594" s="104">
        <f t="shared" si="48"/>
        <v>23701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1439</v>
      </c>
      <c r="I595" s="18">
        <v>4837</v>
      </c>
      <c r="J595" s="18">
        <v>815</v>
      </c>
      <c r="K595" s="104">
        <f t="shared" si="48"/>
        <v>7091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>
        <v>11116</v>
      </c>
      <c r="J597" s="18">
        <v>11116</v>
      </c>
      <c r="K597" s="104">
        <f t="shared" si="48"/>
        <v>22232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114344</v>
      </c>
      <c r="I598" s="108">
        <f>SUM(I591:I597)</f>
        <v>161338</v>
      </c>
      <c r="J598" s="108">
        <f>SUM(J591:J597)</f>
        <v>190659</v>
      </c>
      <c r="K598" s="108">
        <f>SUM(K591:K597)</f>
        <v>466341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17437+19456-1</f>
        <v>36892</v>
      </c>
      <c r="I604" s="18">
        <v>30109</v>
      </c>
      <c r="J604" s="18">
        <v>28013</v>
      </c>
      <c r="K604" s="104">
        <f>SUM(H604:J604)</f>
        <v>95014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36892</v>
      </c>
      <c r="I605" s="108">
        <f>SUM(I602:I604)</f>
        <v>30109</v>
      </c>
      <c r="J605" s="108">
        <f>SUM(J602:J604)</f>
        <v>28013</v>
      </c>
      <c r="K605" s="108">
        <f>SUM(K602:K604)</f>
        <v>95014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16037</v>
      </c>
      <c r="G611" s="18">
        <v>3290</v>
      </c>
      <c r="H611" s="18"/>
      <c r="I611" s="18"/>
      <c r="J611" s="18"/>
      <c r="K611" s="18"/>
      <c r="L611" s="88">
        <f>SUM(F611:K611)</f>
        <v>19327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10317</v>
      </c>
      <c r="G612" s="18">
        <v>2261</v>
      </c>
      <c r="H612" s="18">
        <v>2035</v>
      </c>
      <c r="I612" s="18">
        <v>86</v>
      </c>
      <c r="J612" s="18"/>
      <c r="K612" s="18"/>
      <c r="L612" s="88">
        <f>SUM(F612:K612)</f>
        <v>14699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17673</v>
      </c>
      <c r="G613" s="18">
        <v>4248</v>
      </c>
      <c r="H613" s="18">
        <f>9499</f>
        <v>9499</v>
      </c>
      <c r="I613" s="18">
        <v>53</v>
      </c>
      <c r="J613" s="18"/>
      <c r="K613" s="18"/>
      <c r="L613" s="88">
        <f>SUM(F613:K613)</f>
        <v>31473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44027</v>
      </c>
      <c r="G614" s="108">
        <f t="shared" si="49"/>
        <v>9799</v>
      </c>
      <c r="H614" s="108">
        <f t="shared" si="49"/>
        <v>11534</v>
      </c>
      <c r="I614" s="108">
        <f t="shared" si="49"/>
        <v>139</v>
      </c>
      <c r="J614" s="108">
        <f t="shared" si="49"/>
        <v>0</v>
      </c>
      <c r="K614" s="108">
        <f t="shared" si="49"/>
        <v>0</v>
      </c>
      <c r="L614" s="89">
        <f t="shared" si="49"/>
        <v>65499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1162448</v>
      </c>
      <c r="H617" s="109">
        <f>SUM(F52)</f>
        <v>1162448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35267</v>
      </c>
      <c r="H618" s="109">
        <f>SUM(G52)</f>
        <v>35267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127934</v>
      </c>
      <c r="H619" s="109">
        <f>SUM(H52)</f>
        <v>127934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616095</v>
      </c>
      <c r="H621" s="109">
        <f>SUM(J52)</f>
        <v>616095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444327</v>
      </c>
      <c r="H622" s="109">
        <f>F476</f>
        <v>444327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1262</v>
      </c>
      <c r="H624" s="109">
        <f>H476</f>
        <v>1262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363154</v>
      </c>
      <c r="H626" s="109">
        <f>J476</f>
        <v>363154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13226228</v>
      </c>
      <c r="H627" s="104">
        <f>SUM(F468)</f>
        <v>13226228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288288</v>
      </c>
      <c r="H628" s="104">
        <f>SUM(G468)</f>
        <v>288288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431781</v>
      </c>
      <c r="H629" s="104">
        <f>SUM(H468)</f>
        <v>431781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100000</v>
      </c>
      <c r="H631" s="104">
        <f>SUM(J468)</f>
        <v>100000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13229468</v>
      </c>
      <c r="H632" s="104">
        <f>SUM(F472)</f>
        <v>13229468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432297</v>
      </c>
      <c r="H633" s="104">
        <f>SUM(H472)</f>
        <v>432297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288288</v>
      </c>
      <c r="H635" s="104">
        <f>SUM(G472)</f>
        <v>288288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100000</v>
      </c>
      <c r="H637" s="164">
        <f>SUM(J468)</f>
        <v>100000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31771</v>
      </c>
      <c r="H638" s="164">
        <f>SUM(J472)</f>
        <v>31771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616095</v>
      </c>
      <c r="H640" s="104">
        <f>SUM(G461)</f>
        <v>616095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616095</v>
      </c>
      <c r="H642" s="104">
        <f>SUM(I461)</f>
        <v>616095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100000</v>
      </c>
      <c r="H645" s="104">
        <f>G408</f>
        <v>100000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100000</v>
      </c>
      <c r="H646" s="104">
        <f>L408</f>
        <v>100000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466341</v>
      </c>
      <c r="H647" s="104">
        <f>L208+L226+L244</f>
        <v>466341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95014</v>
      </c>
      <c r="H648" s="104">
        <f>(J257+J338)-(J255+J336)</f>
        <v>95014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114344</v>
      </c>
      <c r="H649" s="104">
        <f>H598</f>
        <v>114344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161338</v>
      </c>
      <c r="H650" s="104">
        <f>I598</f>
        <v>161338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190659</v>
      </c>
      <c r="H651" s="104">
        <f>J598</f>
        <v>190659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50672</v>
      </c>
      <c r="H652" s="104">
        <f>K263+K345</f>
        <v>50672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100000</v>
      </c>
      <c r="H655" s="104">
        <f>K266+K347</f>
        <v>100000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3408557</v>
      </c>
      <c r="G660" s="19">
        <f>(L229+L309+L359)</f>
        <v>4825295</v>
      </c>
      <c r="H660" s="19">
        <f>(L247+L328+L360)</f>
        <v>5152827</v>
      </c>
      <c r="I660" s="19">
        <f>SUM(F660:H660)</f>
        <v>13386679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28350.353119103118</v>
      </c>
      <c r="G661" s="19">
        <f>(L359/IF(SUM(L358:L360)=0,1,SUM(L358:L360))*(SUM(G97:G110)))</f>
        <v>44971.860084360087</v>
      </c>
      <c r="H661" s="19">
        <f>(L360/IF(SUM(L358:L360)=0,1,SUM(L358:L360))*(SUM(G97:G110)))</f>
        <v>28327.786796536799</v>
      </c>
      <c r="I661" s="19">
        <f>SUM(F661:H661)</f>
        <v>101650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114344</v>
      </c>
      <c r="G662" s="19">
        <f>(L226+L306)-(J226+J306)</f>
        <v>161338</v>
      </c>
      <c r="H662" s="19">
        <f>(L244+L325)-(J244+J325)</f>
        <v>191836</v>
      </c>
      <c r="I662" s="19">
        <f>SUM(F662:H662)</f>
        <v>467518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56219</v>
      </c>
      <c r="G663" s="199">
        <f>SUM(G575:G587)+SUM(I602:I604)+L612</f>
        <v>273528</v>
      </c>
      <c r="H663" s="199">
        <f>SUM(H575:H587)+SUM(J602:J604)+L613</f>
        <v>977391</v>
      </c>
      <c r="I663" s="19">
        <f>SUM(F663:H663)</f>
        <v>1307138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3209643.6468808968</v>
      </c>
      <c r="G664" s="19">
        <f>G660-SUM(G661:G663)</f>
        <v>4345457.1399156395</v>
      </c>
      <c r="H664" s="19">
        <f>H660-SUM(H661:H663)</f>
        <v>3955272.2132034632</v>
      </c>
      <c r="I664" s="19">
        <f>I660-SUM(I661:I663)</f>
        <v>11510373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9.47+56.55+132.99</f>
        <v>199.01</v>
      </c>
      <c r="G665" s="248">
        <v>255.11</v>
      </c>
      <c r="H665" s="248">
        <v>205.31</v>
      </c>
      <c r="I665" s="19">
        <f>SUM(F665:H665)</f>
        <v>659.43000000000006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16128.05</v>
      </c>
      <c r="G667" s="19">
        <f>ROUND(G664/G665,2)</f>
        <v>17033.66</v>
      </c>
      <c r="H667" s="19">
        <f>ROUND(H664/H665,2)</f>
        <v>19264.88</v>
      </c>
      <c r="I667" s="19">
        <f>ROUND(I664/I665,2)</f>
        <v>17455.03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-14.56</v>
      </c>
      <c r="I670" s="19">
        <f>SUM(F670:H670)</f>
        <v>-14.56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16128.05</v>
      </c>
      <c r="G672" s="19">
        <f>ROUND((G664+G669)/(G665+G670),2)</f>
        <v>17033.66</v>
      </c>
      <c r="H672" s="19">
        <f>ROUND((H664+H669)/(H665+H670),2)</f>
        <v>20735.37</v>
      </c>
      <c r="I672" s="19">
        <f>ROUND((I664+I669)/(I665+I670),2)</f>
        <v>17849.14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40" sqref="A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Haverhill Coop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3227370</v>
      </c>
      <c r="C9" s="229">
        <f>'DOE25'!G197+'DOE25'!G215+'DOE25'!G233+'DOE25'!G276+'DOE25'!G295+'DOE25'!G314</f>
        <v>1536990</v>
      </c>
    </row>
    <row r="10" spans="1:3" x14ac:dyDescent="0.2">
      <c r="A10" t="s">
        <v>778</v>
      </c>
      <c r="B10" s="240">
        <f>3031417+46066+1</f>
        <v>3077484</v>
      </c>
      <c r="C10" s="240">
        <f>+(B10/$B$13)*(1536989-5207)</f>
        <v>1460642.751369691</v>
      </c>
    </row>
    <row r="11" spans="1:3" x14ac:dyDescent="0.2">
      <c r="A11" t="s">
        <v>779</v>
      </c>
      <c r="B11" s="240">
        <v>61384</v>
      </c>
      <c r="C11" s="240">
        <f>+(B11/$B$13)*(1536989-5207)+5207+1</f>
        <v>34342.21959304325</v>
      </c>
    </row>
    <row r="12" spans="1:3" x14ac:dyDescent="0.2">
      <c r="A12" t="s">
        <v>780</v>
      </c>
      <c r="B12" s="240">
        <v>88502</v>
      </c>
      <c r="C12" s="240">
        <f>+(B12/$B$13)*(1536989-5207)</f>
        <v>42005.029037265638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3227370</v>
      </c>
      <c r="C13" s="231">
        <f>SUM(C10:C12)</f>
        <v>1536989.9999999998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1146924</v>
      </c>
      <c r="C18" s="229">
        <f>'DOE25'!G198+'DOE25'!G216+'DOE25'!G234+'DOE25'!G277+'DOE25'!G296+'DOE25'!G315</f>
        <v>610913</v>
      </c>
    </row>
    <row r="19" spans="1:3" x14ac:dyDescent="0.2">
      <c r="A19" t="s">
        <v>778</v>
      </c>
      <c r="B19" s="240">
        <v>588918</v>
      </c>
      <c r="C19" s="240">
        <f>+(B19/$B$22)*610913</f>
        <v>313689.19137972529</v>
      </c>
    </row>
    <row r="20" spans="1:3" x14ac:dyDescent="0.2">
      <c r="A20" t="s">
        <v>779</v>
      </c>
      <c r="B20" s="240">
        <v>553647</v>
      </c>
      <c r="C20" s="240">
        <f>+(B20/$B$22)*610913</f>
        <v>294901.97232859372</v>
      </c>
    </row>
    <row r="21" spans="1:3" x14ac:dyDescent="0.2">
      <c r="A21" t="s">
        <v>780</v>
      </c>
      <c r="B21" s="240">
        <v>4359</v>
      </c>
      <c r="C21" s="240">
        <f>+(B21/$B$22)*610913</f>
        <v>2321.8362916810529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1146924</v>
      </c>
      <c r="C22" s="231">
        <f>SUM(C19:C21)</f>
        <v>610913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178330</v>
      </c>
      <c r="C36" s="235">
        <f>'DOE25'!G200+'DOE25'!G218+'DOE25'!G236+'DOE25'!G279+'DOE25'!G298+'DOE25'!G317</f>
        <v>42748</v>
      </c>
    </row>
    <row r="37" spans="1:3" x14ac:dyDescent="0.2">
      <c r="A37" t="s">
        <v>778</v>
      </c>
      <c r="B37" s="240">
        <f>30305+9157</f>
        <v>39462</v>
      </c>
      <c r="C37" s="240">
        <f>+(B37/$B$40)*42748</f>
        <v>9459.550137385746</v>
      </c>
    </row>
    <row r="38" spans="1:3" x14ac:dyDescent="0.2">
      <c r="A38" t="s">
        <v>779</v>
      </c>
      <c r="B38" s="240">
        <f>10472+30592+81497+12908-1</f>
        <v>135468</v>
      </c>
      <c r="C38" s="240">
        <f>+(B38/$B$40)*42748</f>
        <v>32473.426030393093</v>
      </c>
    </row>
    <row r="39" spans="1:3" x14ac:dyDescent="0.2">
      <c r="A39" t="s">
        <v>780</v>
      </c>
      <c r="B39" s="240">
        <f>200+3200</f>
        <v>3400</v>
      </c>
      <c r="C39" s="240">
        <f>+(B39/$B$40)*42748</f>
        <v>815.02383222116305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178330</v>
      </c>
      <c r="C40" s="231">
        <f>SUM(C37:C39)</f>
        <v>42748.000000000007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40" sqref="C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Haverhill Coop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8189544</v>
      </c>
      <c r="D5" s="20">
        <f>SUM('DOE25'!L197:L200)+SUM('DOE25'!L215:L218)+SUM('DOE25'!L233:L236)-F5-G5</f>
        <v>8154017</v>
      </c>
      <c r="E5" s="243"/>
      <c r="F5" s="255">
        <f>SUM('DOE25'!J197:J200)+SUM('DOE25'!J215:J218)+SUM('DOE25'!J233:J236)</f>
        <v>13746</v>
      </c>
      <c r="G5" s="53">
        <f>SUM('DOE25'!K197:K200)+SUM('DOE25'!K215:K218)+SUM('DOE25'!K233:K236)</f>
        <v>21781</v>
      </c>
      <c r="H5" s="259"/>
    </row>
    <row r="6" spans="1:9" x14ac:dyDescent="0.2">
      <c r="A6" s="32">
        <v>2100</v>
      </c>
      <c r="B6" t="s">
        <v>800</v>
      </c>
      <c r="C6" s="245">
        <f t="shared" si="0"/>
        <v>1029294</v>
      </c>
      <c r="D6" s="20">
        <f>'DOE25'!L202+'DOE25'!L220+'DOE25'!L238-F6-G6</f>
        <v>1027110</v>
      </c>
      <c r="E6" s="243"/>
      <c r="F6" s="255">
        <f>'DOE25'!J202+'DOE25'!J220+'DOE25'!J238</f>
        <v>0</v>
      </c>
      <c r="G6" s="53">
        <f>'DOE25'!K202+'DOE25'!K220+'DOE25'!K238</f>
        <v>2184</v>
      </c>
      <c r="H6" s="259"/>
    </row>
    <row r="7" spans="1:9" x14ac:dyDescent="0.2">
      <c r="A7" s="32">
        <v>2200</v>
      </c>
      <c r="B7" t="s">
        <v>833</v>
      </c>
      <c r="C7" s="245">
        <f t="shared" si="0"/>
        <v>277201</v>
      </c>
      <c r="D7" s="20">
        <f>'DOE25'!L203+'DOE25'!L221+'DOE25'!L239-F7-G7</f>
        <v>239771</v>
      </c>
      <c r="E7" s="243"/>
      <c r="F7" s="255">
        <f>'DOE25'!J203+'DOE25'!J221+'DOE25'!J239</f>
        <v>37430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493842</v>
      </c>
      <c r="D8" s="243"/>
      <c r="E8" s="20">
        <f>'DOE25'!L204+'DOE25'!L222+'DOE25'!L240-F8-G8-D9-D11</f>
        <v>490066</v>
      </c>
      <c r="F8" s="255">
        <f>'DOE25'!J204+'DOE25'!J222+'DOE25'!J240</f>
        <v>0</v>
      </c>
      <c r="G8" s="53">
        <f>'DOE25'!K204+'DOE25'!K222+'DOE25'!K240</f>
        <v>3776</v>
      </c>
      <c r="H8" s="259"/>
    </row>
    <row r="9" spans="1:9" x14ac:dyDescent="0.2">
      <c r="A9" s="32">
        <v>2310</v>
      </c>
      <c r="B9" t="s">
        <v>817</v>
      </c>
      <c r="C9" s="245">
        <f t="shared" si="0"/>
        <v>91915</v>
      </c>
      <c r="D9" s="244">
        <v>91915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13000</v>
      </c>
      <c r="D10" s="243"/>
      <c r="E10" s="244">
        <v>13000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146230</v>
      </c>
      <c r="D11" s="244">
        <v>146230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825720</v>
      </c>
      <c r="D12" s="20">
        <f>'DOE25'!L205+'DOE25'!L223+'DOE25'!L241-F12-G12</f>
        <v>820080</v>
      </c>
      <c r="E12" s="243"/>
      <c r="F12" s="255">
        <f>'DOE25'!J205+'DOE25'!J223+'DOE25'!J241</f>
        <v>429</v>
      </c>
      <c r="G12" s="53">
        <f>'DOE25'!K205+'DOE25'!K223+'DOE25'!K241</f>
        <v>5211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13687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13687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1052222</v>
      </c>
      <c r="D14" s="20">
        <f>'DOE25'!L207+'DOE25'!L225+'DOE25'!L243-F14-G14</f>
        <v>1045590</v>
      </c>
      <c r="E14" s="243"/>
      <c r="F14" s="255">
        <f>'DOE25'!J207+'DOE25'!J225+'DOE25'!J243</f>
        <v>5417</v>
      </c>
      <c r="G14" s="53">
        <f>'DOE25'!K207+'DOE25'!K225+'DOE25'!K243</f>
        <v>1215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466341</v>
      </c>
      <c r="D15" s="20">
        <f>'DOE25'!L208+'DOE25'!L226+'DOE25'!L244-F15-G15</f>
        <v>466206</v>
      </c>
      <c r="E15" s="243"/>
      <c r="F15" s="255">
        <f>'DOE25'!J208+'DOE25'!J226+'DOE25'!J244</f>
        <v>0</v>
      </c>
      <c r="G15" s="53">
        <f>'DOE25'!K208+'DOE25'!K226+'DOE25'!K244</f>
        <v>135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80098</v>
      </c>
      <c r="D16" s="243"/>
      <c r="E16" s="20">
        <f>'DOE25'!L209+'DOE25'!L227+'DOE25'!L245-F16-G16</f>
        <v>80098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20934</v>
      </c>
      <c r="D19" s="20">
        <f>'DOE25'!L253-F19-G19</f>
        <v>20934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391768</v>
      </c>
      <c r="D25" s="243"/>
      <c r="E25" s="243"/>
      <c r="F25" s="258"/>
      <c r="G25" s="256"/>
      <c r="H25" s="257">
        <f>'DOE25'!L260+'DOE25'!L261+'DOE25'!L341+'DOE25'!L342</f>
        <v>391768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288288</v>
      </c>
      <c r="D29" s="20">
        <f>'DOE25'!L358+'DOE25'!L359+'DOE25'!L360-'DOE25'!I367-F29-G29</f>
        <v>285224</v>
      </c>
      <c r="E29" s="243"/>
      <c r="F29" s="255">
        <f>'DOE25'!J358+'DOE25'!J359+'DOE25'!J360</f>
        <v>2239</v>
      </c>
      <c r="G29" s="53">
        <f>'DOE25'!K358+'DOE25'!K359+'DOE25'!K360</f>
        <v>825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432297</v>
      </c>
      <c r="D31" s="20">
        <f>'DOE25'!L290+'DOE25'!L309+'DOE25'!L328+'DOE25'!L333+'DOE25'!L334+'DOE25'!L335-F31-G31</f>
        <v>385586</v>
      </c>
      <c r="E31" s="243"/>
      <c r="F31" s="255">
        <f>'DOE25'!J290+'DOE25'!J309+'DOE25'!J328+'DOE25'!J333+'DOE25'!J334+'DOE25'!J335</f>
        <v>37992</v>
      </c>
      <c r="G31" s="53">
        <f>'DOE25'!K290+'DOE25'!K309+'DOE25'!K328+'DOE25'!K333+'DOE25'!K334+'DOE25'!K335</f>
        <v>8719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12682663</v>
      </c>
      <c r="E33" s="246">
        <f>SUM(E5:E31)</f>
        <v>583164</v>
      </c>
      <c r="F33" s="246">
        <f>SUM(F5:F31)</f>
        <v>97253</v>
      </c>
      <c r="G33" s="246">
        <f>SUM(G5:G31)</f>
        <v>57533</v>
      </c>
      <c r="H33" s="246">
        <f>SUM(H5:H31)</f>
        <v>391768</v>
      </c>
    </row>
    <row r="35" spans="2:8" ht="12" thickBot="1" x14ac:dyDescent="0.25">
      <c r="B35" s="253" t="s">
        <v>846</v>
      </c>
      <c r="D35" s="254">
        <f>E33</f>
        <v>583164</v>
      </c>
      <c r="E35" s="249"/>
    </row>
    <row r="36" spans="2:8" ht="12" thickTop="1" x14ac:dyDescent="0.2">
      <c r="B36" t="s">
        <v>814</v>
      </c>
      <c r="D36" s="20">
        <f>D33</f>
        <v>12682663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10" zoomScaleNormal="110" workbookViewId="0">
      <pane ySplit="2" topLeftCell="A36" activePane="bottomLeft" state="frozen"/>
      <selection activeCell="F46" sqref="F46"/>
      <selection pane="bottomLeft" activeCell="C42" sqref="C4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724278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416095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137578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200000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160929</v>
      </c>
      <c r="D12" s="95">
        <f>'DOE25'!G13</f>
        <v>35267</v>
      </c>
      <c r="E12" s="95">
        <f>'DOE25'!H13</f>
        <v>127934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5719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133944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1162448</v>
      </c>
      <c r="D18" s="41">
        <f>SUM(D8:D17)</f>
        <v>35267</v>
      </c>
      <c r="E18" s="41">
        <f>SUM(E8:E17)</f>
        <v>127934</v>
      </c>
      <c r="F18" s="41">
        <f>SUM(F8:F17)</f>
        <v>0</v>
      </c>
      <c r="G18" s="41">
        <f>SUM(G8:G17)</f>
        <v>616095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34842</v>
      </c>
      <c r="E21" s="95">
        <f>'DOE25'!H22</f>
        <v>81296</v>
      </c>
      <c r="F21" s="95">
        <f>'DOE25'!I22</f>
        <v>0</v>
      </c>
      <c r="G21" s="95">
        <f>'DOE25'!J22</f>
        <v>21441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231500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115731</v>
      </c>
      <c r="D23" s="95">
        <f>'DOE25'!G24</f>
        <v>425</v>
      </c>
      <c r="E23" s="95">
        <f>'DOE25'!H24</f>
        <v>9654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2390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600000</v>
      </c>
      <c r="D29" s="95">
        <f>'DOE25'!G30</f>
        <v>0</v>
      </c>
      <c r="E29" s="95">
        <f>'DOE25'!H30</f>
        <v>35722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718121</v>
      </c>
      <c r="D31" s="41">
        <f>SUM(D21:D30)</f>
        <v>35267</v>
      </c>
      <c r="E31" s="41">
        <f>SUM(E21:E30)</f>
        <v>126672</v>
      </c>
      <c r="F31" s="41">
        <f>SUM(F21:F30)</f>
        <v>0</v>
      </c>
      <c r="G31" s="41">
        <f>SUM(G21:G30)</f>
        <v>252941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133944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177325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1262</v>
      </c>
      <c r="F47" s="95">
        <f>'DOE25'!I48</f>
        <v>0</v>
      </c>
      <c r="G47" s="95">
        <f>'DOE25'!J48</f>
        <v>363154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133058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444327</v>
      </c>
      <c r="D50" s="41">
        <f>SUM(D34:D49)</f>
        <v>0</v>
      </c>
      <c r="E50" s="41">
        <f>SUM(E34:E49)</f>
        <v>1262</v>
      </c>
      <c r="F50" s="41">
        <f>SUM(F34:F49)</f>
        <v>0</v>
      </c>
      <c r="G50" s="41">
        <f>SUM(G34:G49)</f>
        <v>363154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1162448</v>
      </c>
      <c r="D51" s="41">
        <f>D50+D31</f>
        <v>35267</v>
      </c>
      <c r="E51" s="41">
        <f>E50+E31</f>
        <v>127934</v>
      </c>
      <c r="F51" s="41">
        <f>F50+F31</f>
        <v>0</v>
      </c>
      <c r="G51" s="41">
        <f>G50+G31</f>
        <v>616095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6338925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1049272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42462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91421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106692</v>
      </c>
      <c r="D61" s="95">
        <f>SUM('DOE25'!G98:G110)</f>
        <v>10229</v>
      </c>
      <c r="E61" s="95">
        <f>SUM('DOE25'!H98:H110)</f>
        <v>52346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1198426</v>
      </c>
      <c r="D62" s="130">
        <f>SUM(D57:D61)</f>
        <v>101650</v>
      </c>
      <c r="E62" s="130">
        <f>SUM(E57:E61)</f>
        <v>52346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7537351</v>
      </c>
      <c r="D63" s="22">
        <f>D56+D62</f>
        <v>101650</v>
      </c>
      <c r="E63" s="22">
        <f>E56+E62</f>
        <v>52346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3959494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754096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4713590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189753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264036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156061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6832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609850</v>
      </c>
      <c r="D78" s="130">
        <f>SUM(D72:D77)</f>
        <v>6832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5323440</v>
      </c>
      <c r="D81" s="130">
        <f>SUM(D79:D80)+D78+D70</f>
        <v>6832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332512</v>
      </c>
      <c r="D88" s="95">
        <f>SUM('DOE25'!G153:G161)</f>
        <v>129134</v>
      </c>
      <c r="E88" s="95">
        <f>SUM('DOE25'!H153:H161)</f>
        <v>379435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1425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333937</v>
      </c>
      <c r="D91" s="131">
        <f>SUM(D85:D90)</f>
        <v>129134</v>
      </c>
      <c r="E91" s="131">
        <f>SUM(E85:E90)</f>
        <v>379435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50672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31500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31500</v>
      </c>
      <c r="D103" s="86">
        <f>SUM(D93:D102)</f>
        <v>50672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764</v>
      </c>
      <c r="C104" s="86">
        <f>C63+C81+C91+C103</f>
        <v>13226228</v>
      </c>
      <c r="D104" s="86">
        <f>D63+D81+D91+D103</f>
        <v>288288</v>
      </c>
      <c r="E104" s="86">
        <f>E63+E81+E91+E103</f>
        <v>431781</v>
      </c>
      <c r="F104" s="86">
        <f>F63+F81+F91+F103</f>
        <v>0</v>
      </c>
      <c r="G104" s="86">
        <f>G63+G81+G103</f>
        <v>100000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4741298</v>
      </c>
      <c r="D109" s="24" t="s">
        <v>288</v>
      </c>
      <c r="E109" s="95">
        <f>('DOE25'!L276)+('DOE25'!L295)+('DOE25'!L314)</f>
        <v>304997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2825031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350609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272606</v>
      </c>
      <c r="D112" s="24" t="s">
        <v>288</v>
      </c>
      <c r="E112" s="95">
        <f>+('DOE25'!L279)+('DOE25'!L298)+('DOE25'!L317)</f>
        <v>21641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20934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8210478</v>
      </c>
      <c r="D115" s="86">
        <f>SUM(D109:D114)</f>
        <v>0</v>
      </c>
      <c r="E115" s="86">
        <f>SUM(E109:E114)</f>
        <v>326638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1029294</v>
      </c>
      <c r="D118" s="24" t="s">
        <v>288</v>
      </c>
      <c r="E118" s="95">
        <f>+('DOE25'!L281)+('DOE25'!L300)+('DOE25'!L319)</f>
        <v>7225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277201</v>
      </c>
      <c r="D119" s="24" t="s">
        <v>288</v>
      </c>
      <c r="E119" s="95">
        <f>+('DOE25'!L282)+('DOE25'!L301)+('DOE25'!L320)</f>
        <v>33796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731987</v>
      </c>
      <c r="D120" s="24" t="s">
        <v>288</v>
      </c>
      <c r="E120" s="95">
        <f>+('DOE25'!L283)+('DOE25'!L302)+('DOE25'!L321)</f>
        <v>5805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825720</v>
      </c>
      <c r="D121" s="24" t="s">
        <v>288</v>
      </c>
      <c r="E121" s="95">
        <f>+('DOE25'!L284)+('DOE25'!L303)+('DOE25'!L322)</f>
        <v>57656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13687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1052222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466341</v>
      </c>
      <c r="D124" s="24" t="s">
        <v>288</v>
      </c>
      <c r="E124" s="95">
        <f>+('DOE25'!L287)+('DOE25'!L306)+('DOE25'!L325)</f>
        <v>1177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80098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288288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4476550</v>
      </c>
      <c r="D128" s="86">
        <f>SUM(D118:D127)</f>
        <v>288288</v>
      </c>
      <c r="E128" s="86">
        <f>SUM(E118:E127)</f>
        <v>105659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377749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14019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31771</v>
      </c>
    </row>
    <row r="135" spans="1:7" x14ac:dyDescent="0.2">
      <c r="A135" t="s">
        <v>233</v>
      </c>
      <c r="B135" s="32" t="s">
        <v>234</v>
      </c>
      <c r="C135" s="95">
        <f>'DOE25'!L263</f>
        <v>50672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542440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31771</v>
      </c>
    </row>
    <row r="145" spans="1:9" ht="12.75" thickTop="1" thickBot="1" x14ac:dyDescent="0.25">
      <c r="A145" s="33" t="s">
        <v>244</v>
      </c>
      <c r="C145" s="86">
        <f>(C115+C128+C144)</f>
        <v>13229468</v>
      </c>
      <c r="D145" s="86">
        <f>(D115+D128+D144)</f>
        <v>288288</v>
      </c>
      <c r="E145" s="86">
        <f>(E115+E128+E144)</f>
        <v>432297</v>
      </c>
      <c r="F145" s="86">
        <f>(F115+F128+F144)</f>
        <v>0</v>
      </c>
      <c r="G145" s="86">
        <f>(G115+G128+G144)</f>
        <v>31771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10</v>
      </c>
      <c r="E151" s="153">
        <f>'DOE25'!I490</f>
        <v>14</v>
      </c>
      <c r="F151" s="153">
        <f>'DOE25'!J490</f>
        <v>5</v>
      </c>
      <c r="G151" s="24" t="s">
        <v>288</v>
      </c>
    </row>
    <row r="152" spans="1:9" x14ac:dyDescent="0.2">
      <c r="A152" s="136" t="s">
        <v>28</v>
      </c>
      <c r="B152" s="152" t="str">
        <f>'DOE25'!F491</f>
        <v>8/21/03</v>
      </c>
      <c r="C152" s="152" t="str">
        <f>'DOE25'!G491</f>
        <v>7/6/2005</v>
      </c>
      <c r="D152" s="152" t="str">
        <f>'DOE25'!H491</f>
        <v>3/2/2009</v>
      </c>
      <c r="E152" s="152" t="str">
        <f>'DOE25'!I491</f>
        <v>11/2008</v>
      </c>
      <c r="F152" s="152" t="str">
        <f>'DOE25'!J491</f>
        <v>2/2012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8/21/18</v>
      </c>
      <c r="C153" s="152" t="str">
        <f>'DOE25'!G492</f>
        <v>7/5/2021</v>
      </c>
      <c r="D153" s="152" t="str">
        <f>'DOE25'!H492</f>
        <v>3/1/2019</v>
      </c>
      <c r="E153" s="152" t="str">
        <f>'DOE25'!I492</f>
        <v>11/2022</v>
      </c>
      <c r="F153" s="152" t="str">
        <f>'DOE25'!J492</f>
        <v>2/2017</v>
      </c>
      <c r="G153" s="24" t="s">
        <v>288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1694000</v>
      </c>
      <c r="D154" s="137">
        <f>'DOE25'!H493</f>
        <v>605000</v>
      </c>
      <c r="E154" s="137">
        <f>'DOE25'!I493</f>
        <v>1498000</v>
      </c>
      <c r="F154" s="137">
        <f>'DOE25'!J493</f>
        <v>73535.149999999994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4.5</v>
      </c>
      <c r="E155" s="137">
        <f>'DOE25'!I494</f>
        <v>0</v>
      </c>
      <c r="F155" s="137">
        <f>'DOE25'!J494</f>
        <v>2.25</v>
      </c>
      <c r="G155" s="24" t="s">
        <v>288</v>
      </c>
    </row>
    <row r="156" spans="1:9" x14ac:dyDescent="0.2">
      <c r="A156" s="22" t="s">
        <v>32</v>
      </c>
      <c r="B156" s="137">
        <f>'DOE25'!F495</f>
        <v>100000.04</v>
      </c>
      <c r="C156" s="137">
        <f>'DOE25'!G495</f>
        <v>607600.03</v>
      </c>
      <c r="D156" s="137">
        <f>'DOE25'!H495</f>
        <v>181500</v>
      </c>
      <c r="E156" s="137">
        <f>'DOE25'!I495</f>
        <v>749000</v>
      </c>
      <c r="F156" s="137">
        <f>'DOE25'!J495</f>
        <v>14757</v>
      </c>
      <c r="G156" s="138">
        <f>SUM(B156:F156)</f>
        <v>1652857.07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33333.33</v>
      </c>
      <c r="C158" s="137">
        <f>'DOE25'!G497</f>
        <v>112933.33</v>
      </c>
      <c r="D158" s="137">
        <f>'DOE25'!H497</f>
        <v>60500</v>
      </c>
      <c r="E158" s="137">
        <f>'DOE25'!I497</f>
        <v>107000</v>
      </c>
      <c r="F158" s="137">
        <f>'DOE25'!J497</f>
        <v>14757</v>
      </c>
      <c r="G158" s="138">
        <f t="shared" si="0"/>
        <v>328523.66000000003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5" sqref="C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Haverhill Coop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16128</v>
      </c>
    </row>
    <row r="5" spans="1:4" x14ac:dyDescent="0.2">
      <c r="B5" t="s">
        <v>703</v>
      </c>
      <c r="C5" s="179">
        <f>IF('DOE25'!G665+'DOE25'!G670=0,0,ROUND('DOE25'!G672,0))</f>
        <v>17034</v>
      </c>
    </row>
    <row r="6" spans="1:4" x14ac:dyDescent="0.2">
      <c r="B6" t="s">
        <v>62</v>
      </c>
      <c r="C6" s="179">
        <f>IF('DOE25'!H665+'DOE25'!H670=0,0,ROUND('DOE25'!H672,0))</f>
        <v>20735</v>
      </c>
    </row>
    <row r="7" spans="1:4" x14ac:dyDescent="0.2">
      <c r="B7" t="s">
        <v>704</v>
      </c>
      <c r="C7" s="179">
        <f>IF('DOE25'!I665+'DOE25'!I670=0,0,ROUND('DOE25'!I672,0))</f>
        <v>17849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5046295</v>
      </c>
      <c r="D10" s="182">
        <f>ROUND((C10/$C$28)*100,1)</f>
        <v>37.9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2825031</v>
      </c>
      <c r="D11" s="182">
        <f>ROUND((C11/$C$28)*100,1)</f>
        <v>21.2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350609</v>
      </c>
      <c r="D12" s="182">
        <f>ROUND((C12/$C$28)*100,1)</f>
        <v>2.6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294247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1036519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310997</v>
      </c>
      <c r="D16" s="182">
        <f t="shared" si="0"/>
        <v>2.2999999999999998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817890</v>
      </c>
      <c r="D17" s="182">
        <f t="shared" si="0"/>
        <v>6.1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883376</v>
      </c>
      <c r="D18" s="182">
        <f t="shared" si="0"/>
        <v>6.6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13687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1052222</v>
      </c>
      <c r="D20" s="182">
        <f t="shared" si="0"/>
        <v>7.9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467518</v>
      </c>
      <c r="D21" s="182">
        <f t="shared" si="0"/>
        <v>3.5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20934</v>
      </c>
      <c r="D24" s="182">
        <f t="shared" si="0"/>
        <v>0.2</v>
      </c>
    </row>
    <row r="25" spans="1:4" x14ac:dyDescent="0.2">
      <c r="A25">
        <v>5120</v>
      </c>
      <c r="B25" t="s">
        <v>719</v>
      </c>
      <c r="C25" s="179">
        <f>ROUND('DOE25'!L261+'DOE25'!L342,0)</f>
        <v>14019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186638</v>
      </c>
      <c r="D27" s="182">
        <f t="shared" si="0"/>
        <v>1.4</v>
      </c>
    </row>
    <row r="28" spans="1:4" x14ac:dyDescent="0.2">
      <c r="B28" s="187" t="s">
        <v>722</v>
      </c>
      <c r="C28" s="180">
        <f>SUM(C10:C27)</f>
        <v>13319982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13319982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377749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6338925</v>
      </c>
      <c r="D35" s="182">
        <f t="shared" ref="D35:D40" si="1">ROUND((C35/$C$41)*100,1)</f>
        <v>46.1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1250772</v>
      </c>
      <c r="D36" s="182">
        <f t="shared" si="1"/>
        <v>9.1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4713590</v>
      </c>
      <c r="D37" s="182">
        <f t="shared" si="1"/>
        <v>34.200000000000003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616682</v>
      </c>
      <c r="D38" s="182">
        <f t="shared" si="1"/>
        <v>4.5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842506</v>
      </c>
      <c r="D39" s="182">
        <f t="shared" si="1"/>
        <v>6.1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13762475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Haverhill Coop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2017-08-28T12:18:40Z</cp:lastPrinted>
  <dcterms:created xsi:type="dcterms:W3CDTF">1997-12-04T19:04:30Z</dcterms:created>
  <dcterms:modified xsi:type="dcterms:W3CDTF">2017-11-29T17:26:38Z</dcterms:modified>
</cp:coreProperties>
</file>