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9" i="1" l="1"/>
  <c r="F110" i="1" l="1"/>
  <c r="I314" i="1" l="1"/>
  <c r="H314" i="1" l="1"/>
  <c r="I295" i="1"/>
  <c r="H295" i="1"/>
  <c r="G295" i="1"/>
  <c r="F295" i="1"/>
  <c r="I276" i="1"/>
  <c r="H276" i="1"/>
  <c r="G276" i="1"/>
  <c r="F276" i="1"/>
  <c r="H24" i="1" l="1"/>
  <c r="G12" i="1"/>
  <c r="H203" i="1"/>
  <c r="I243" i="1"/>
  <c r="H243" i="1"/>
  <c r="G241" i="1"/>
  <c r="K239" i="1"/>
  <c r="J239" i="1"/>
  <c r="I239" i="1"/>
  <c r="G239" i="1"/>
  <c r="F239" i="1"/>
  <c r="H238" i="1"/>
  <c r="G238" i="1"/>
  <c r="F238" i="1"/>
  <c r="K234" i="1"/>
  <c r="H234" i="1"/>
  <c r="G234" i="1"/>
  <c r="F234" i="1"/>
  <c r="G233" i="1"/>
  <c r="F233" i="1"/>
  <c r="G223" i="1"/>
  <c r="J221" i="1"/>
  <c r="I221" i="1"/>
  <c r="H221" i="1"/>
  <c r="G221" i="1"/>
  <c r="F221" i="1"/>
  <c r="H220" i="1"/>
  <c r="G220" i="1"/>
  <c r="F220" i="1"/>
  <c r="K216" i="1"/>
  <c r="H216" i="1"/>
  <c r="G216" i="1"/>
  <c r="F216" i="1"/>
  <c r="G215" i="1"/>
  <c r="F215" i="1"/>
  <c r="G205" i="1"/>
  <c r="J203" i="1"/>
  <c r="I203" i="1"/>
  <c r="G203" i="1"/>
  <c r="F203" i="1"/>
  <c r="H202" i="1"/>
  <c r="G202" i="1"/>
  <c r="F202" i="1"/>
  <c r="K198" i="1"/>
  <c r="H198" i="1"/>
  <c r="G198" i="1"/>
  <c r="F198" i="1"/>
  <c r="G197" i="1"/>
  <c r="F197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22" i="2" s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C111" i="2" s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C124" i="2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90" i="1" s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309" i="1" s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28" i="1" s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401" i="1" s="1"/>
  <c r="C139" i="2" s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F112" i="1" s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1" i="10"/>
  <c r="C12" i="10"/>
  <c r="C13" i="10"/>
  <c r="L250" i="1"/>
  <c r="L332" i="1"/>
  <c r="L254" i="1"/>
  <c r="C25" i="10"/>
  <c r="L268" i="1"/>
  <c r="L269" i="1"/>
  <c r="L349" i="1"/>
  <c r="L350" i="1"/>
  <c r="I665" i="1"/>
  <c r="I670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K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C70" i="2" s="1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E112" i="2"/>
  <c r="C113" i="2"/>
  <c r="E113" i="2"/>
  <c r="C114" i="2"/>
  <c r="E114" i="2"/>
  <c r="D115" i="2"/>
  <c r="F115" i="2"/>
  <c r="G115" i="2"/>
  <c r="E118" i="2"/>
  <c r="E119" i="2"/>
  <c r="E120" i="2"/>
  <c r="E121" i="2"/>
  <c r="E122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G624" i="1" s="1"/>
  <c r="I51" i="1"/>
  <c r="I52" i="1" s="1"/>
  <c r="H620" i="1" s="1"/>
  <c r="F177" i="1"/>
  <c r="I177" i="1"/>
  <c r="F183" i="1"/>
  <c r="F192" i="1" s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I401" i="1"/>
  <c r="F407" i="1"/>
  <c r="G407" i="1"/>
  <c r="H407" i="1"/>
  <c r="I407" i="1"/>
  <c r="F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7" i="1" s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I452" i="1"/>
  <c r="F460" i="1"/>
  <c r="G460" i="1"/>
  <c r="H460" i="1"/>
  <c r="F461" i="1"/>
  <c r="G461" i="1"/>
  <c r="H461" i="1"/>
  <c r="F470" i="1"/>
  <c r="G470" i="1"/>
  <c r="H470" i="1"/>
  <c r="I470" i="1"/>
  <c r="J470" i="1"/>
  <c r="F474" i="1"/>
  <c r="G474" i="1"/>
  <c r="G476" i="1" s="1"/>
  <c r="H623" i="1" s="1"/>
  <c r="H474" i="1"/>
  <c r="H476" i="1" s="1"/>
  <c r="H624" i="1" s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H545" i="1" s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20" i="1"/>
  <c r="G622" i="1"/>
  <c r="G623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H640" i="1"/>
  <c r="G641" i="1"/>
  <c r="H641" i="1"/>
  <c r="G643" i="1"/>
  <c r="H643" i="1"/>
  <c r="G644" i="1"/>
  <c r="H644" i="1"/>
  <c r="G650" i="1"/>
  <c r="G651" i="1"/>
  <c r="G652" i="1"/>
  <c r="H652" i="1"/>
  <c r="G653" i="1"/>
  <c r="H653" i="1"/>
  <c r="G654" i="1"/>
  <c r="H654" i="1"/>
  <c r="H655" i="1"/>
  <c r="L256" i="1"/>
  <c r="C26" i="10"/>
  <c r="L351" i="1"/>
  <c r="A31" i="12"/>
  <c r="D62" i="2"/>
  <c r="D63" i="2" s="1"/>
  <c r="D18" i="13"/>
  <c r="C18" i="13" s="1"/>
  <c r="D15" i="13"/>
  <c r="C15" i="13" s="1"/>
  <c r="D17" i="13"/>
  <c r="C17" i="13" s="1"/>
  <c r="F78" i="2"/>
  <c r="F81" i="2" s="1"/>
  <c r="G157" i="2"/>
  <c r="F18" i="2"/>
  <c r="E103" i="2"/>
  <c r="D91" i="2"/>
  <c r="E62" i="2"/>
  <c r="E63" i="2" s="1"/>
  <c r="G62" i="2"/>
  <c r="D19" i="13"/>
  <c r="C19" i="13" s="1"/>
  <c r="E78" i="2"/>
  <c r="E81" i="2" s="1"/>
  <c r="H112" i="1"/>
  <c r="J641" i="1"/>
  <c r="J639" i="1"/>
  <c r="J571" i="1"/>
  <c r="K571" i="1"/>
  <c r="L433" i="1"/>
  <c r="L419" i="1"/>
  <c r="I169" i="1"/>
  <c r="J644" i="1"/>
  <c r="J643" i="1"/>
  <c r="F476" i="1"/>
  <c r="H622" i="1" s="1"/>
  <c r="I476" i="1"/>
  <c r="H625" i="1" s="1"/>
  <c r="J625" i="1" s="1"/>
  <c r="G338" i="1"/>
  <c r="G352" i="1" s="1"/>
  <c r="J140" i="1"/>
  <c r="F571" i="1"/>
  <c r="I552" i="1"/>
  <c r="K550" i="1"/>
  <c r="G22" i="2"/>
  <c r="K545" i="1"/>
  <c r="C29" i="10"/>
  <c r="H140" i="1"/>
  <c r="L393" i="1"/>
  <c r="F22" i="13"/>
  <c r="H25" i="13"/>
  <c r="C25" i="13" s="1"/>
  <c r="H571" i="1"/>
  <c r="L560" i="1"/>
  <c r="H192" i="1"/>
  <c r="E128" i="2"/>
  <c r="C35" i="10"/>
  <c r="E16" i="13"/>
  <c r="L570" i="1"/>
  <c r="I571" i="1"/>
  <c r="J636" i="1"/>
  <c r="G36" i="2"/>
  <c r="L565" i="1"/>
  <c r="C22" i="13"/>
  <c r="C138" i="2"/>
  <c r="C16" i="13"/>
  <c r="L534" i="1" l="1"/>
  <c r="A40" i="12"/>
  <c r="A13" i="12"/>
  <c r="J476" i="1"/>
  <c r="H626" i="1" s="1"/>
  <c r="D50" i="2"/>
  <c r="J623" i="1"/>
  <c r="E31" i="2"/>
  <c r="J655" i="1"/>
  <c r="G645" i="1"/>
  <c r="J640" i="1"/>
  <c r="I460" i="1"/>
  <c r="I461" i="1" s="1"/>
  <c r="H642" i="1" s="1"/>
  <c r="I446" i="1"/>
  <c r="G642" i="1" s="1"/>
  <c r="L544" i="1"/>
  <c r="J552" i="1"/>
  <c r="C17" i="10"/>
  <c r="C123" i="2"/>
  <c r="D14" i="13"/>
  <c r="C14" i="13" s="1"/>
  <c r="C20" i="10"/>
  <c r="C19" i="10"/>
  <c r="E13" i="13"/>
  <c r="C13" i="13" s="1"/>
  <c r="E8" i="13"/>
  <c r="C8" i="13" s="1"/>
  <c r="C120" i="2"/>
  <c r="D6" i="13"/>
  <c r="C6" i="13" s="1"/>
  <c r="K503" i="1"/>
  <c r="K500" i="1"/>
  <c r="C78" i="2"/>
  <c r="C81" i="2" s="1"/>
  <c r="H338" i="1"/>
  <c r="H352" i="1" s="1"/>
  <c r="F338" i="1"/>
  <c r="F352" i="1" s="1"/>
  <c r="K338" i="1"/>
  <c r="K352" i="1" s="1"/>
  <c r="K257" i="1"/>
  <c r="K271" i="1" s="1"/>
  <c r="J651" i="1"/>
  <c r="H662" i="1"/>
  <c r="C21" i="10"/>
  <c r="G257" i="1"/>
  <c r="G271" i="1" s="1"/>
  <c r="L247" i="1"/>
  <c r="H660" i="1" s="1"/>
  <c r="C109" i="2"/>
  <c r="J257" i="1"/>
  <c r="J271" i="1" s="1"/>
  <c r="I257" i="1"/>
  <c r="I271" i="1" s="1"/>
  <c r="H257" i="1"/>
  <c r="H271" i="1" s="1"/>
  <c r="C18" i="10"/>
  <c r="C16" i="10"/>
  <c r="L229" i="1"/>
  <c r="G660" i="1" s="1"/>
  <c r="C15" i="10"/>
  <c r="C112" i="2"/>
  <c r="D5" i="13"/>
  <c r="C5" i="13" s="1"/>
  <c r="F257" i="1"/>
  <c r="F271" i="1" s="1"/>
  <c r="D12" i="13"/>
  <c r="C12" i="13" s="1"/>
  <c r="C118" i="2"/>
  <c r="C121" i="2"/>
  <c r="C110" i="2"/>
  <c r="G649" i="1"/>
  <c r="J649" i="1" s="1"/>
  <c r="F662" i="1"/>
  <c r="H647" i="1"/>
  <c r="C119" i="2"/>
  <c r="D7" i="13"/>
  <c r="C7" i="13" s="1"/>
  <c r="L211" i="1"/>
  <c r="H33" i="13"/>
  <c r="J645" i="1"/>
  <c r="K598" i="1"/>
  <c r="G647" i="1" s="1"/>
  <c r="J545" i="1"/>
  <c r="I545" i="1"/>
  <c r="F552" i="1"/>
  <c r="L524" i="1"/>
  <c r="G545" i="1"/>
  <c r="G552" i="1"/>
  <c r="K549" i="1"/>
  <c r="K552" i="1" s="1"/>
  <c r="L529" i="1"/>
  <c r="C62" i="2"/>
  <c r="C63" i="2" s="1"/>
  <c r="L362" i="1"/>
  <c r="J634" i="1"/>
  <c r="D29" i="13"/>
  <c r="C29" i="13" s="1"/>
  <c r="D127" i="2"/>
  <c r="D128" i="2" s="1"/>
  <c r="D145" i="2" s="1"/>
  <c r="H661" i="1"/>
  <c r="F661" i="1"/>
  <c r="G661" i="1"/>
  <c r="J624" i="1"/>
  <c r="H52" i="1"/>
  <c r="H619" i="1" s="1"/>
  <c r="J619" i="1" s="1"/>
  <c r="D31" i="2"/>
  <c r="D18" i="2"/>
  <c r="J622" i="1"/>
  <c r="J617" i="1"/>
  <c r="C18" i="2"/>
  <c r="J338" i="1"/>
  <c r="J352" i="1" s="1"/>
  <c r="E109" i="2"/>
  <c r="E115" i="2" s="1"/>
  <c r="E145" i="2" s="1"/>
  <c r="C10" i="10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L338" i="1"/>
  <c r="L352" i="1" s="1"/>
  <c r="G633" i="1" s="1"/>
  <c r="J633" i="1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J652" i="1"/>
  <c r="J642" i="1"/>
  <c r="G571" i="1"/>
  <c r="I434" i="1"/>
  <c r="G434" i="1"/>
  <c r="I663" i="1"/>
  <c r="C27" i="10"/>
  <c r="G635" i="1"/>
  <c r="J635" i="1" s="1"/>
  <c r="D51" i="2" l="1"/>
  <c r="G104" i="2"/>
  <c r="H646" i="1"/>
  <c r="J646" i="1" s="1"/>
  <c r="J647" i="1"/>
  <c r="E33" i="13"/>
  <c r="D35" i="13" s="1"/>
  <c r="I662" i="1"/>
  <c r="H664" i="1"/>
  <c r="H667" i="1" s="1"/>
  <c r="H648" i="1"/>
  <c r="J648" i="1" s="1"/>
  <c r="L257" i="1"/>
  <c r="L271" i="1" s="1"/>
  <c r="G632" i="1" s="1"/>
  <c r="J632" i="1" s="1"/>
  <c r="C115" i="2"/>
  <c r="C128" i="2"/>
  <c r="F660" i="1"/>
  <c r="I660" i="1" s="1"/>
  <c r="C104" i="2"/>
  <c r="L545" i="1"/>
  <c r="C28" i="10"/>
  <c r="D19" i="10" s="1"/>
  <c r="I661" i="1"/>
  <c r="G664" i="1"/>
  <c r="G672" i="1" s="1"/>
  <c r="C5" i="10" s="1"/>
  <c r="D31" i="13"/>
  <c r="C31" i="13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H672" i="1" l="1"/>
  <c r="C6" i="10" s="1"/>
  <c r="C145" i="2"/>
  <c r="G667" i="1"/>
  <c r="F664" i="1"/>
  <c r="F667" i="1" s="1"/>
  <c r="D23" i="10"/>
  <c r="D10" i="10"/>
  <c r="D21" i="10"/>
  <c r="D18" i="10"/>
  <c r="C30" i="10"/>
  <c r="D24" i="10"/>
  <c r="D26" i="10"/>
  <c r="D12" i="10"/>
  <c r="D27" i="10"/>
  <c r="D11" i="10"/>
  <c r="D22" i="10"/>
  <c r="D13" i="10"/>
  <c r="D17" i="10"/>
  <c r="D16" i="10"/>
  <c r="D20" i="10"/>
  <c r="D15" i="10"/>
  <c r="D25" i="10"/>
  <c r="D33" i="13"/>
  <c r="D36" i="13" s="1"/>
  <c r="I664" i="1"/>
  <c r="I672" i="1" s="1"/>
  <c r="C7" i="10" s="1"/>
  <c r="F672" i="1"/>
  <c r="C4" i="10" s="1"/>
  <c r="H656" i="1"/>
  <c r="C41" i="10"/>
  <c r="D38" i="10" s="1"/>
  <c r="D28" i="10" l="1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<sst xmlns="http://schemas.openxmlformats.org/spreadsheetml/2006/main" count="3958" uniqueCount="916">
  <si>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</si>
  <si>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</si>
  <si>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</si>
  <si>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</si>
  <si>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</si>
  <si>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</si>
  <si>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</si>
  <si>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</si>
  <si>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</si>
  <si>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</si>
  <si>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</si>
  <si>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</si>
  <si>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</si>
  <si>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</si>
  <si>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</si>
  <si>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</si>
  <si>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</si>
  <si>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</si>
  <si>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</si>
  <si>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</si>
  <si>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</si>
  <si>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</si>
  <si>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</si>
  <si>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</si>
  <si>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</si>
  <si>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</si>
  <si>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</si>
  <si>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</si>
  <si>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</si>
  <si>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</si>
  <si>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</si>
  <si>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</si>
  <si>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</si>
  <si>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</si>
  <si>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</si>
  <si>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</si>
  <si>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</si>
  <si>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</si>
  <si>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</si>
  <si>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</si>
  <si>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</si>
  <si>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</si>
  <si>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</si>
  <si>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</si>
  <si>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</si>
  <si>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</si>
  <si>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</si>
  <si>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</si>
  <si>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</si>
  <si>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</si>
  <si>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</si>
  <si>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</si>
  <si>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</si>
  <si>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</si>
  <si>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</si>
  <si>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</si>
  <si>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</si>
  <si>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</si>
  <si>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</si>
  <si>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</si>
  <si>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</si>
  <si>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</si>
  <si>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</si>
  <si>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</si>
  <si>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</si>
  <si>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</si>
  <si>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</si>
  <si>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</si>
  <si>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</si>
  <si>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</si>
  <si>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</si>
  <si>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</si>
  <si>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</si>
  <si>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</si>
  <si>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</si>
  <si>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</si>
  <si>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</si>
  <si>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</si>
  <si>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</si>
  <si>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</si>
  <si>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</si>
  <si>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</si>
  <si>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</si>
  <si>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</si>
  <si>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</si>
  <si>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</si>
  <si>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</si>
  <si>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</si>
  <si>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</si>
  <si>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</si>
  <si>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</si>
  <si>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</si>
  <si>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</si>
  <si>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</si>
  <si>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</si>
  <si>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</si>
  <si>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</si>
  <si>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</si>
  <si>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</si>
  <si>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</si>
  <si>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</si>
  <si>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</si>
  <si>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</si>
  <si>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</si>
  <si>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</si>
  <si>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</si>
  <si>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</si>
  <si>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</si>
  <si>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</si>
  <si>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</si>
  <si>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</si>
  <si>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</si>
  <si>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</si>
  <si>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</si>
  <si>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</si>
  <si>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</si>
  <si>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</si>
  <si>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</si>
  <si>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</si>
  <si>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</si>
  <si>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</si>
  <si>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</si>
  <si>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</si>
  <si>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</si>
  <si>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</si>
  <si>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</si>
  <si>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</si>
  <si>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</si>
  <si>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</si>
  <si>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</si>
  <si>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</si>
  <si>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</si>
  <si>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</si>
  <si>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</si>
  <si>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</si>
  <si>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</si>
  <si>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</si>
  <si>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</si>
  <si>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</si>
  <si>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</si>
  <si>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</si>
  <si>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</si>
  <si>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</si>
  <si>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</si>
  <si>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</si>
  <si>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</si>
  <si>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</si>
  <si>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</si>
  <si>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</si>
  <si>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</si>
  <si>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</si>
  <si>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</si>
  <si>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</si>
  <si>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</si>
  <si>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</si>
  <si>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</si>
  <si>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</si>
  <si>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</si>
  <si>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</si>
  <si>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</si>
  <si>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</si>
  <si>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</si>
  <si>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</si>
  <si>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</si>
  <si>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</si>
  <si>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</si>
  <si>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</si>
  <si>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</si>
  <si>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</si>
  <si>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</si>
  <si>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</si>
  <si>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</si>
  <si>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</si>
  <si>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</si>
  <si>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</si>
  <si>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</si>
  <si>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</si>
  <si>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</si>
  <si>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</si>
  <si>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</si>
  <si>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</si>
  <si>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</si>
  <si>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</si>
  <si>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</si>
  <si>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</si>
  <si>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</si>
  <si>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</si>
  <si>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</si>
  <si>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</si>
  <si>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</si>
  <si>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</si>
  <si>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</si>
  <si>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</si>
  <si>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</si>
  <si>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</si>
  <si>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</si>
  <si>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</si>
  <si>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</si>
  <si>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</si>
  <si>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</si>
  <si>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</si>
  <si>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</si>
  <si>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</si>
  <si>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</si>
  <si>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</si>
  <si>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</si>
  <si>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</si>
  <si>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</si>
  <si>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</si>
  <si>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</si>
  <si>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</si>
  <si>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</si>
  <si>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</si>
  <si>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</si>
  <si>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</si>
  <si>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</si>
  <si>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</si>
  <si>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</si>
  <si>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</si>
  <si>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</si>
  <si>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</si>
  <si>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</si>
  <si>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</si>
  <si>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</si>
  <si>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</si>
  <si>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</si>
  <si>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</si>
  <si>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</si>
  <si>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</si>
  <si>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</si>
  <si>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</si>
  <si>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</si>
  <si>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</si>
  <si>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</si>
  <si>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</si>
  <si>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</si>
  <si>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</si>
  <si>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</si>
  <si>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</si>
  <si>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</si>
  <si>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</si>
  <si>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</si>
  <si>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</si>
  <si>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</si>
  <si>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</si>
  <si>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</si>
  <si>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</si>
  <si>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</si>
  <si>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</si>
  <si>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</si>
  <si>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</si>
  <si>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</si>
  <si>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</si>
  <si>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</si>
  <si>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</si>
  <si>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</si>
  <si>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</si>
  <si>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</si>
  <si>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</si>
  <si>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</si>
  <si>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</si>
  <si>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</si>
  <si>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</si>
  <si>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</si>
  <si>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</si>
  <si>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</si>
  <si>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</si>
  <si>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</si>
  <si>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</si>
  <si>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</si>
  <si>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</si>
  <si>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</si>
  <si>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</si>
  <si>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</si>
  <si>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</si>
  <si>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</si>
  <si>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</si>
  <si>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</si>
  <si>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</si>
  <si>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</si>
  <si>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</si>
  <si>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</si>
  <si>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</si>
  <si>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</si>
  <si>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</si>
  <si>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</si>
  <si>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</si>
  <si>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</si>
  <si>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</si>
  <si>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</si>
  <si>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</si>
  <si>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</si>
  <si>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</si>
  <si>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</si>
  <si>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</si>
  <si>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</si>
  <si>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</si>
  <si>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</si>
  <si>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</si>
  <si>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</si>
  <si>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</si>
  <si>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</si>
  <si>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</si>
  <si>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</si>
  <si>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</si>
  <si>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</si>
  <si>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</si>
  <si>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</si>
  <si>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</si>
  <si>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</si>
  <si>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</si>
  <si>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</si>
  <si>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</si>
  <si>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</si>
  <si>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</si>
  <si>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</si>
  <si>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</si>
  <si>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</si>
  <si>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</si>
  <si>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</si>
  <si>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</si>
  <si>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</si>
  <si>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</si>
  <si>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</si>
  <si>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</si>
  <si>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</si>
  <si>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</si>
  <si>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</si>
  <si>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</si>
  <si>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</si>
  <si>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</si>
  <si>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</si>
  <si>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</si>
  <si>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</si>
  <si>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</si>
  <si>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</si>
  <si>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</si>
  <si>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</si>
  <si>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</si>
  <si>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</si>
  <si>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</si>
  <si>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</si>
  <si>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</si>
  <si>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</si>
  <si>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</si>
  <si>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</si>
  <si>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</si>
  <si>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</si>
  <si>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</si>
  <si>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</si>
  <si>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</si>
  <si>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</si>
  <si>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</si>
  <si>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</si>
  <si>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</si>
  <si>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</si>
  <si>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</si>
  <si>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</si>
  <si>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</si>
  <si>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</si>
  <si>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</si>
  <si>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</si>
  <si>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</si>
  <si>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</si>
  <si>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</si>
  <si>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</si>
  <si>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</si>
  <si>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</si>
  <si>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</si>
  <si>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</si>
  <si>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</si>
  <si>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</si>
  <si>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</si>
  <si>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</si>
  <si>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</si>
  <si>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</si>
  <si>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</si>
  <si>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</si>
  <si>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</si>
  <si>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</si>
  <si>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</si>
  <si>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</si>
  <si>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</si>
  <si>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</si>
  <si>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</si>
  <si>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</si>
  <si>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</si>
  <si>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</si>
  <si>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</si>
  <si>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</si>
  <si>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</si>
  <si>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</si>
  <si>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</si>
  <si>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</si>
  <si>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</si>
  <si>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</si>
  <si>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</si>
  <si>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</si>
  <si>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</si>
  <si>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</si>
  <si>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</si>
  <si>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</si>
  <si>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</si>
  <si>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</si>
  <si>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</si>
  <si>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</si>
  <si>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</si>
  <si>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</si>
  <si>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</si>
  <si>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</si>
  <si>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</si>
  <si>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</si>
  <si>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</si>
  <si>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</si>
  <si>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</si>
  <si>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</si>
  <si>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</si>
  <si>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</si>
  <si>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</si>
  <si>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</si>
  <si>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</si>
  <si>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</si>
  <si>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</si>
  <si>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</si>
  <si>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</si>
  <si>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</si>
  <si>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</si>
  <si>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</si>
  <si>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</si>
  <si>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</si>
  <si>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</si>
  <si>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</si>
  <si>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</si>
  <si>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</si>
  <si>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</si>
  <si>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</si>
  <si>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</si>
  <si>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</si>
  <si>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</si>
  <si>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</si>
  <si>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</si>
  <si>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</si>
  <si>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</si>
  <si>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</si>
  <si>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</si>
  <si>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</si>
  <si>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</si>
  <si>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</si>
  <si>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</si>
  <si>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</si>
  <si>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</si>
  <si>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</si>
  <si>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</si>
  <si>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</si>
  <si>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</si>
  <si>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</si>
  <si>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</si>
  <si>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</si>
  <si>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</si>
  <si>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</si>
  <si>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</si>
  <si>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</si>
  <si>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</si>
  <si>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</si>
  <si>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</si>
  <si>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</si>
  <si>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</si>
  <si>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</si>
  <si>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</si>
  <si>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</si>
  <si>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</si>
  <si>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</si>
  <si>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</si>
  <si>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</si>
  <si>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</si>
  <si>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</si>
  <si>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</si>
  <si>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</si>
  <si>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</si>
  <si>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</si>
  <si>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</si>
  <si>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</si>
  <si>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</si>
  <si>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</si>
  <si>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</si>
  <si>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</si>
  <si>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</si>
  <si>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</si>
  <si>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</si>
  <si>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</si>
  <si>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</si>
  <si>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</si>
  <si>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</si>
  <si>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</si>
  <si>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</si>
  <si>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</si>
  <si>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</si>
  <si>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</si>
  <si>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</si>
  <si>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</si>
  <si>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</si>
  <si>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</si>
  <si>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</si>
  <si>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</si>
  <si>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</si>
  <si>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</si>
  <si>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</si>
  <si>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</si>
  <si>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</si>
  <si>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</si>
  <si>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</si>
  <si>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</si>
  <si>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</si>
  <si>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</si>
  <si>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</si>
  <si>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</si>
  <si>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</si>
  <si>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</si>
  <si>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</si>
  <si>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</si>
  <si>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</si>
  <si>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</si>
  <si>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</si>
  <si>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</si>
  <si>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</si>
  <si>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</si>
  <si>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</si>
  <si>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</si>
  <si>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</si>
  <si>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</si>
  <si>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</si>
  <si>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</si>
  <si>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</si>
  <si>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</si>
  <si>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</si>
  <si>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</si>
  <si>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</si>
  <si>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</si>
  <si>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</si>
  <si>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</si>
  <si>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</si>
  <si>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</si>
  <si>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</si>
  <si>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</si>
  <si>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</si>
  <si>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</si>
  <si>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</si>
  <si>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</si>
  <si>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</si>
  <si>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</si>
  <si>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</si>
  <si>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</si>
  <si>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</si>
  <si>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</si>
  <si>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</si>
  <si>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</si>
  <si>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</si>
  <si>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</si>
  <si>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</si>
  <si>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</si>
  <si>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</si>
  <si>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</si>
  <si>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</si>
  <si>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</si>
  <si>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</si>
  <si>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</si>
  <si>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</si>
  <si>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</si>
  <si>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</si>
  <si>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</si>
  <si>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</si>
  <si>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</si>
  <si>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</si>
  <si>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</si>
  <si>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</si>
  <si>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</si>
  <si>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</si>
  <si>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</si>
  <si>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</si>
  <si>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</si>
  <si>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</si>
  <si>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</si>
  <si>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</si>
  <si>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</si>
  <si>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</si>
  <si>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</si>
  <si>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</si>
  <si>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</si>
  <si>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</si>
  <si>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</si>
  <si>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</si>
  <si>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</si>
  <si>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</si>
  <si>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</si>
  <si>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</si>
  <si>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</si>
  <si>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</si>
  <si>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</si>
  <si>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</si>
  <si>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</si>
  <si>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</si>
  <si>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</si>
  <si>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</si>
  <si>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</si>
  <si>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</si>
  <si>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</si>
  <si>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</si>
  <si>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</si>
  <si>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</si>
  <si>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</si>
  <si>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</si>
  <si>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</si>
  <si>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</si>
  <si>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</si>
  <si>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</si>
  <si>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</si>
  <si>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</si>
  <si>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</si>
  <si>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</si>
  <si>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</si>
  <si>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</si>
  <si>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</si>
  <si>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</si>
  <si>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</si>
  <si>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</si>
  <si>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</si>
  <si>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</si>
  <si>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</si>
  <si>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</si>
  <si>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</si>
  <si>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</si>
  <si>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</si>
  <si>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</si>
  <si>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</si>
  <si>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</si>
  <si>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</si>
  <si>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</si>
  <si>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</si>
  <si>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</si>
  <si>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</si>
  <si>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</si>
  <si>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</si>
  <si>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</si>
  <si>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</si>
  <si>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</si>
  <si>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</si>
  <si>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</si>
  <si>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</si>
  <si>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</si>
  <si>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</si>
  <si>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</si>
  <si>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</si>
  <si>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</si>
  <si>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</si>
  <si>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</si>
  <si>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</si>
  <si>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</si>
  <si>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</si>
  <si>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</si>
  <si>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</si>
  <si>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</si>
  <si>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</si>
  <si>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</si>
  <si>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</si>
  <si>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</si>
  <si>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</si>
  <si>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</si>
  <si>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</si>
  <si>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</si>
  <si>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</si>
  <si>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</si>
  <si>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</si>
  <si>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</si>
  <si>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</si>
  <si>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</si>
  <si>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</si>
  <si>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</si>
  <si>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</si>
  <si>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</si>
  <si>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</si>
  <si>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</si>
  <si>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</si>
  <si>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</si>
  <si>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</si>
  <si>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</si>
  <si>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</si>
  <si>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</si>
  <si>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</si>
  <si>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</si>
  <si>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</si>
  <si>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</si>
  <si>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</si>
  <si>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</si>
  <si>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</si>
  <si>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</si>
  <si>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</si>
  <si>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</si>
  <si>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</si>
  <si>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</si>
  <si>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</si>
  <si>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</si>
  <si>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</si>
  <si>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</si>
  <si>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</si>
  <si>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</si>
  <si>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</si>
  <si>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</si>
  <si>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</si>
  <si>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</si>
  <si>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</si>
  <si>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</si>
  <si>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</si>
  <si>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</si>
  <si>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</si>
  <si>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</si>
  <si>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</si>
  <si>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</si>
  <si>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</si>
  <si>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</si>
  <si>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</si>
  <si>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</si>
  <si>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</si>
  <si>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</si>
  <si>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</si>
  <si>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</si>
  <si>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</si>
  <si>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</si>
  <si>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</si>
  <si>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</si>
  <si>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</si>
  <si>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</si>
  <si>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</si>
  <si>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</si>
  <si>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</si>
  <si>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</si>
  <si>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</si>
  <si>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</si>
  <si>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</si>
  <si>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</si>
  <si>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</si>
  <si>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</si>
  <si>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</si>
  <si>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</si>
  <si>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</si>
  <si>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</si>
  <si>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</si>
  <si>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</si>
  <si>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</si>
  <si>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</si>
  <si>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</si>
  <si>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</si>
  <si>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</si>
  <si>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</si>
  <si>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</si>
  <si>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</si>
  <si>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</si>
  <si>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</si>
  <si>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</si>
  <si>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</si>
  <si>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</si>
  <si>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</si>
  <si>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</si>
  <si>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</si>
  <si>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</si>
  <si>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</si>
  <si>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</si>
  <si>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</si>
  <si>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</si>
  <si>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</si>
  <si>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</si>
  <si>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</si>
  <si>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</si>
  <si>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</si>
  <si>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</si>
  <si>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</si>
  <si>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</si>
  <si>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</si>
  <si>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</si>
  <si>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</si>
  <si>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</si>
  <si>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</si>
  <si>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</si>
  <si>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</si>
  <si>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</si>
  <si>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</si>
  <si>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</si>
  <si>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</si>
  <si>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</si>
  <si>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</si>
  <si>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</si>
  <si>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</si>
  <si>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</si>
  <si>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</si>
  <si>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</si>
  <si>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</si>
  <si>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</si>
  <si>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</si>
  <si>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</si>
  <si>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</si>
  <si>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</si>
  <si>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</si>
  <si>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</si>
  <si>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</si>
  <si>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</si>
  <si>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</si>
  <si>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</si>
  <si>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</si>
  <si>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</si>
  <si>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</si>
  <si>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</si>
  <si>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</si>
  <si>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</si>
  <si>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</si>
  <si>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</si>
  <si>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</si>
  <si>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</si>
  <si>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</si>
  <si>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</si>
  <si>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</si>
  <si>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</si>
  <si>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</si>
  <si>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</si>
  <si>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</si>
  <si>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</si>
  <si>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</si>
  <si>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</si>
  <si>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</si>
  <si>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</si>
  <si>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</si>
  <si>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</si>
  <si>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</si>
  <si>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</si>
  <si>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</si>
  <si>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</si>
  <si>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</si>
  <si>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</si>
  <si>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</si>
  <si>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</si>
  <si>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</si>
  <si>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</si>
  <si>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</si>
  <si>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</si>
  <si>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</si>
  <si>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</si>
  <si>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</si>
  <si>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</si>
  <si>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</si>
  <si>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</si>
  <si>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</si>
  <si>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</si>
  <si>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</si>
  <si>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</si>
  <si>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</si>
  <si>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</si>
  <si>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</si>
  <si>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</si>
  <si>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</si>
  <si>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</si>
  <si>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</si>
  <si>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</si>
  <si>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</si>
  <si>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</si>
  <si>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</si>
  <si>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</si>
  <si>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</si>
  <si>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</si>
  <si>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</si>
  <si>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</si>
  <si>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</si>
  <si>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</si>
  <si>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</si>
  <si>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</si>
  <si>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</si>
  <si>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</si>
  <si>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</si>
  <si>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</si>
  <si>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</si>
  <si>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</si>
  <si>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</si>
  <si>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</si>
  <si>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</si>
  <si>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</si>
  <si>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</si>
  <si>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</si>
  <si>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</si>
  <si>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</si>
  <si>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</si>
  <si>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</si>
  <si>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</si>
  <si>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</si>
  <si>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</si>
  <si>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</si>
  <si>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</si>
  <si>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</si>
  <si>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</si>
  <si>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</si>
  <si>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</si>
  <si>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</si>
  <si>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</si>
  <si>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</si>
  <si>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</si>
  <si>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</si>
  <si>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</si>
  <si>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</si>
  <si>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</si>
  <si>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</si>
  <si>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</si>
  <si>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</si>
  <si>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</si>
  <si>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</si>
  <si>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</si>
  <si>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</si>
  <si>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07/02</t>
  </si>
  <si>
    <t>08/22</t>
  </si>
  <si>
    <t>interest</t>
  </si>
  <si>
    <t>Hillsboro-Deering Coop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</si>
</sst>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915</v>
      </c>
      <c r="B2" s="21">
        <v>251</v>
      </c>
      <c r="C2" s="21">
        <v>0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2366726</v>
      </c>
      <c r="G9" s="18"/>
      <c r="H9" s="18"/>
      <c r="I9" s="18"/>
      <c r="J9" s="67">
        <f>SUM(I439)</f>
        <v>734239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/>
      <c r="G12" s="18">
        <f>46473+15000+209</f>
        <v>61682</v>
      </c>
      <c r="H12" s="18">
        <v>297833</v>
      </c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/>
      <c r="G13" s="18">
        <v>20024</v>
      </c>
      <c r="H13" s="18">
        <v>263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66762</v>
      </c>
      <c r="G14" s="18">
        <v>0</v>
      </c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>
        <v>0</v>
      </c>
      <c r="G16" s="18">
        <v>7128</v>
      </c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0</v>
      </c>
      <c r="G17" s="18">
        <v>1001</v>
      </c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>
        <v>0</v>
      </c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2433488</v>
      </c>
      <c r="G19" s="41">
        <f>SUM(G9:G18)</f>
        <v>89835</v>
      </c>
      <c r="H19" s="41">
        <f>SUM(H9:H18)</f>
        <v>298096</v>
      </c>
      <c r="I19" s="41">
        <f>SUM(I9:I18)</f>
        <v>0</v>
      </c>
      <c r="J19" s="41">
        <f>SUM(J9:J18)</f>
        <v>734239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193132</v>
      </c>
      <c r="G22" s="18"/>
      <c r="H22" s="18"/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>
        <v>4160</v>
      </c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436702</v>
      </c>
      <c r="G24" s="18">
        <v>12544</v>
      </c>
      <c r="H24" s="18">
        <f>3372+20000+16121</f>
        <v>39493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>
        <v>0</v>
      </c>
      <c r="G25" s="145">
        <v>0</v>
      </c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>
        <v>0</v>
      </c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>
        <v>0</v>
      </c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0</v>
      </c>
      <c r="G28" s="18">
        <v>0</v>
      </c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v>0</v>
      </c>
      <c r="G29" s="18">
        <v>0</v>
      </c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>
        <v>47181</v>
      </c>
      <c r="G30" s="18">
        <v>0</v>
      </c>
      <c r="H30" s="18">
        <v>13397</v>
      </c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>
        <v>0</v>
      </c>
      <c r="G31" s="18">
        <v>0</v>
      </c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681175</v>
      </c>
      <c r="G32" s="41">
        <f>SUM(G22:G31)</f>
        <v>12544</v>
      </c>
      <c r="H32" s="41">
        <f>SUM(H22:H31)</f>
        <v>52890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>
        <v>7128</v>
      </c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>
        <v>1001</v>
      </c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>
        <v>51531</v>
      </c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150000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238665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>
        <v>212615</v>
      </c>
      <c r="I48" s="18"/>
      <c r="J48" s="13">
        <f>SUM(I459)</f>
        <v>734239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f>142506+46142+175000</f>
        <v>363648</v>
      </c>
      <c r="G49" s="18">
        <v>17631</v>
      </c>
      <c r="H49" s="18">
        <v>32591</v>
      </c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1000000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1752313</v>
      </c>
      <c r="G51" s="41">
        <f>SUM(G35:G50)</f>
        <v>77291</v>
      </c>
      <c r="H51" s="41">
        <f>SUM(H35:H50)</f>
        <v>245206</v>
      </c>
      <c r="I51" s="41">
        <f>SUM(I35:I50)</f>
        <v>0</v>
      </c>
      <c r="J51" s="41">
        <f>SUM(J35:J50)</f>
        <v>734239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2433488</v>
      </c>
      <c r="G52" s="41">
        <f>G51+G32</f>
        <v>89835</v>
      </c>
      <c r="H52" s="41">
        <f>H51+H32</f>
        <v>298096</v>
      </c>
      <c r="I52" s="41">
        <f>I51+I32</f>
        <v>0</v>
      </c>
      <c r="J52" s="41">
        <f>J51+J32</f>
        <v>734239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11049046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11049046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v>1440047</v>
      </c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1440047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>
        <v>8422</v>
      </c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8422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994</v>
      </c>
      <c r="G96" s="18"/>
      <c r="H96" s="18"/>
      <c r="I96" s="18"/>
      <c r="J96" s="18"/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255565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35000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>
        <v>138237</v>
      </c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f>27180</f>
        <v>27180</v>
      </c>
      <c r="G110" s="18">
        <v>0</v>
      </c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63174</v>
      </c>
      <c r="G111" s="41">
        <f>SUM(G96:G110)</f>
        <v>255565</v>
      </c>
      <c r="H111" s="41">
        <f>SUM(H96:H110)</f>
        <v>138237</v>
      </c>
      <c r="I111" s="41">
        <f>SUM(I96:I110)</f>
        <v>0</v>
      </c>
      <c r="J111" s="41">
        <f>SUM(J96:J110)</f>
        <v>0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12560689</v>
      </c>
      <c r="G112" s="41">
        <f>G60+G111</f>
        <v>255565</v>
      </c>
      <c r="H112" s="41">
        <f>H60+H79+H94+H111</f>
        <v>138237</v>
      </c>
      <c r="I112" s="41">
        <f>I60+I111</f>
        <v>0</v>
      </c>
      <c r="J112" s="41">
        <f>J60+J111</f>
        <v>0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6108231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1446786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1916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7556933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342731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>
        <v>0</v>
      </c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378653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v>16178</v>
      </c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6460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737562</v>
      </c>
      <c r="G136" s="41">
        <f>SUM(G123:G135)</f>
        <v>6460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8294495</v>
      </c>
      <c r="G140" s="41">
        <f>G121+SUM(G136:G137)</f>
        <v>6460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350895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514761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327760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240158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240158</v>
      </c>
      <c r="G162" s="41">
        <f>SUM(G150:G161)</f>
        <v>327760</v>
      </c>
      <c r="H162" s="41">
        <f>SUM(H150:H161)</f>
        <v>865656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240158</v>
      </c>
      <c r="G169" s="41">
        <f>G147+G162+SUM(G163:G168)</f>
        <v>327760</v>
      </c>
      <c r="H169" s="41">
        <f>H147+H162+SUM(H163:H168)</f>
        <v>865656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15000</v>
      </c>
      <c r="H179" s="18"/>
      <c r="I179" s="18"/>
      <c r="J179" s="18">
        <v>200000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>
        <v>0</v>
      </c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15000</v>
      </c>
      <c r="H183" s="41">
        <f>SUM(H179:H182)</f>
        <v>0</v>
      </c>
      <c r="I183" s="41">
        <f>SUM(I179:I182)</f>
        <v>0</v>
      </c>
      <c r="J183" s="41">
        <f>SUM(J179:J182)</f>
        <v>200000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>
        <v>175287</v>
      </c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175287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175287</v>
      </c>
      <c r="G192" s="41">
        <f>G183+SUM(G188:G191)</f>
        <v>15000</v>
      </c>
      <c r="H192" s="41">
        <f>+H183+SUM(H188:H191)</f>
        <v>0</v>
      </c>
      <c r="I192" s="41">
        <f>I177+I183+SUM(I188:I191)</f>
        <v>0</v>
      </c>
      <c r="J192" s="41">
        <f>J183</f>
        <v>200000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21270629</v>
      </c>
      <c r="G193" s="47">
        <f>G112+G140+G169+G192</f>
        <v>604785</v>
      </c>
      <c r="H193" s="47">
        <f>H112+H140+H169+H192</f>
        <v>1003893</v>
      </c>
      <c r="I193" s="47">
        <f>I112+I140+I169+I192</f>
        <v>0</v>
      </c>
      <c r="J193" s="47">
        <f>J112+J140+J192</f>
        <v>200000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f>2069743+22199</f>
        <v>2091942</v>
      </c>
      <c r="G197" s="18">
        <f>945710+11097</f>
        <v>956807</v>
      </c>
      <c r="H197" s="18">
        <v>0</v>
      </c>
      <c r="I197" s="18">
        <v>72074</v>
      </c>
      <c r="J197" s="18">
        <v>3563</v>
      </c>
      <c r="K197" s="18">
        <v>0</v>
      </c>
      <c r="L197" s="19">
        <f>SUM(F197:K197)</f>
        <v>3124386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f>851243+86641</f>
        <v>937884</v>
      </c>
      <c r="G198" s="18">
        <f>615863+32320</f>
        <v>648183</v>
      </c>
      <c r="H198" s="18">
        <f>149769+787</f>
        <v>150556</v>
      </c>
      <c r="I198" s="18">
        <v>7613</v>
      </c>
      <c r="J198" s="18">
        <v>1982</v>
      </c>
      <c r="K198" s="18">
        <f>519+7</f>
        <v>526</v>
      </c>
      <c r="L198" s="19">
        <f>SUM(F198:K198)</f>
        <v>1746744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1050</v>
      </c>
      <c r="G200" s="18">
        <v>243</v>
      </c>
      <c r="H200" s="18"/>
      <c r="I200" s="18"/>
      <c r="J200" s="18"/>
      <c r="K200" s="18"/>
      <c r="L200" s="19">
        <f>SUM(F200:K200)</f>
        <v>1293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f>483236+12179</f>
        <v>495415</v>
      </c>
      <c r="G202" s="18">
        <f>273592+7724</f>
        <v>281316</v>
      </c>
      <c r="H202" s="18">
        <f>36+33113</f>
        <v>33149</v>
      </c>
      <c r="I202" s="18">
        <v>6813</v>
      </c>
      <c r="J202" s="18">
        <v>0</v>
      </c>
      <c r="K202" s="18">
        <v>0</v>
      </c>
      <c r="L202" s="19">
        <f t="shared" ref="L202:L208" si="0">SUM(F202:K202)</f>
        <v>816693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f>48415+76999</f>
        <v>125414</v>
      </c>
      <c r="G203" s="18">
        <f>11996+46598</f>
        <v>58594</v>
      </c>
      <c r="H203" s="18">
        <f>379+29208</f>
        <v>29587</v>
      </c>
      <c r="I203" s="18">
        <f>11178+37974</f>
        <v>49152</v>
      </c>
      <c r="J203" s="18">
        <f>4233+36471</f>
        <v>40704</v>
      </c>
      <c r="K203" s="18">
        <v>244</v>
      </c>
      <c r="L203" s="19">
        <f t="shared" si="0"/>
        <v>303695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4083</v>
      </c>
      <c r="G204" s="18">
        <v>32751</v>
      </c>
      <c r="H204" s="18">
        <v>406086</v>
      </c>
      <c r="I204" s="18"/>
      <c r="J204" s="18">
        <v>4318</v>
      </c>
      <c r="K204" s="18"/>
      <c r="L204" s="19">
        <f t="shared" si="0"/>
        <v>447238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236874</v>
      </c>
      <c r="G205" s="18">
        <f>87278+6955</f>
        <v>94233</v>
      </c>
      <c r="H205" s="18">
        <v>8105</v>
      </c>
      <c r="I205" s="18">
        <v>3549</v>
      </c>
      <c r="J205" s="18">
        <v>0</v>
      </c>
      <c r="K205" s="18">
        <v>865</v>
      </c>
      <c r="L205" s="19">
        <f t="shared" si="0"/>
        <v>343626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>
        <v>4691</v>
      </c>
      <c r="J206" s="18"/>
      <c r="K206" s="18"/>
      <c r="L206" s="19">
        <f t="shared" si="0"/>
        <v>4691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63630</v>
      </c>
      <c r="G207" s="18">
        <v>36669</v>
      </c>
      <c r="H207" s="18">
        <v>456948</v>
      </c>
      <c r="I207" s="18">
        <v>165121</v>
      </c>
      <c r="J207" s="18">
        <v>399</v>
      </c>
      <c r="K207" s="18"/>
      <c r="L207" s="19">
        <f t="shared" si="0"/>
        <v>722767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v>324846</v>
      </c>
      <c r="I208" s="18"/>
      <c r="J208" s="18"/>
      <c r="K208" s="18"/>
      <c r="L208" s="19">
        <f t="shared" si="0"/>
        <v>324846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3956292</v>
      </c>
      <c r="G211" s="41">
        <f t="shared" si="1"/>
        <v>2108796</v>
      </c>
      <c r="H211" s="41">
        <f t="shared" si="1"/>
        <v>1409277</v>
      </c>
      <c r="I211" s="41">
        <f t="shared" si="1"/>
        <v>309013</v>
      </c>
      <c r="J211" s="41">
        <f t="shared" si="1"/>
        <v>50966</v>
      </c>
      <c r="K211" s="41">
        <f t="shared" si="1"/>
        <v>1635</v>
      </c>
      <c r="L211" s="41">
        <f t="shared" si="1"/>
        <v>7835979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f>1191191+13091</f>
        <v>1204282</v>
      </c>
      <c r="G215" s="18">
        <f>596872+6544</f>
        <v>603416</v>
      </c>
      <c r="H215" s="18">
        <v>4310</v>
      </c>
      <c r="I215" s="18">
        <v>31251</v>
      </c>
      <c r="J215" s="18">
        <v>955</v>
      </c>
      <c r="K215" s="18">
        <v>3326</v>
      </c>
      <c r="L215" s="19">
        <f>SUM(F215:K215)</f>
        <v>1847540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f>382372+51092</f>
        <v>433464</v>
      </c>
      <c r="G216" s="18">
        <f>282822+19059</f>
        <v>301881</v>
      </c>
      <c r="H216" s="18">
        <f>77253+464</f>
        <v>77717</v>
      </c>
      <c r="I216" s="18">
        <v>2046</v>
      </c>
      <c r="J216" s="18">
        <v>249</v>
      </c>
      <c r="K216" s="18">
        <f>519+4</f>
        <v>523</v>
      </c>
      <c r="L216" s="19">
        <f>SUM(F216:K216)</f>
        <v>815880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v>3750</v>
      </c>
      <c r="G218" s="18">
        <v>864</v>
      </c>
      <c r="H218" s="18">
        <v>20000</v>
      </c>
      <c r="I218" s="18">
        <v>0</v>
      </c>
      <c r="J218" s="18">
        <v>0</v>
      </c>
      <c r="K218" s="18">
        <v>0</v>
      </c>
      <c r="L218" s="19">
        <f>SUM(F218:K218)</f>
        <v>24614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f>213455+7182</f>
        <v>220637</v>
      </c>
      <c r="G220" s="18">
        <f>105030+4555</f>
        <v>109585</v>
      </c>
      <c r="H220" s="18">
        <f>700+19527</f>
        <v>20227</v>
      </c>
      <c r="I220" s="18">
        <v>3512</v>
      </c>
      <c r="J220" s="18">
        <v>0</v>
      </c>
      <c r="K220" s="18">
        <v>0</v>
      </c>
      <c r="L220" s="19">
        <f t="shared" ref="L220:L226" si="2">SUM(F220:K220)</f>
        <v>353961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f>57456+76999</f>
        <v>134455</v>
      </c>
      <c r="G221" s="18">
        <f>29459+27479</f>
        <v>56938</v>
      </c>
      <c r="H221" s="18">
        <f>227+17224</f>
        <v>17451</v>
      </c>
      <c r="I221" s="18">
        <f>7384+22393</f>
        <v>29777</v>
      </c>
      <c r="J221" s="18">
        <f>108+21507</f>
        <v>21615</v>
      </c>
      <c r="K221" s="18">
        <v>144</v>
      </c>
      <c r="L221" s="19">
        <f t="shared" si="2"/>
        <v>260380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v>2408</v>
      </c>
      <c r="G222" s="18">
        <v>19313</v>
      </c>
      <c r="H222" s="18">
        <v>239468</v>
      </c>
      <c r="I222" s="18"/>
      <c r="J222" s="18"/>
      <c r="K222" s="18">
        <v>2546</v>
      </c>
      <c r="L222" s="19">
        <f t="shared" si="2"/>
        <v>263735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v>180872</v>
      </c>
      <c r="G223" s="18">
        <f>113946+4101</f>
        <v>118047</v>
      </c>
      <c r="H223" s="18">
        <v>989</v>
      </c>
      <c r="I223" s="18">
        <v>2766</v>
      </c>
      <c r="J223" s="18">
        <v>0</v>
      </c>
      <c r="K223" s="18">
        <v>35</v>
      </c>
      <c r="L223" s="19">
        <f t="shared" si="2"/>
        <v>302709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>
        <v>37523</v>
      </c>
      <c r="G225" s="18">
        <v>21624</v>
      </c>
      <c r="H225" s="18">
        <v>269461</v>
      </c>
      <c r="I225" s="18">
        <v>97371</v>
      </c>
      <c r="J225" s="18">
        <v>235</v>
      </c>
      <c r="K225" s="18"/>
      <c r="L225" s="19">
        <f t="shared" si="2"/>
        <v>426214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>
        <v>142136</v>
      </c>
      <c r="I226" s="18"/>
      <c r="J226" s="18"/>
      <c r="K226" s="18"/>
      <c r="L226" s="19">
        <f t="shared" si="2"/>
        <v>142136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2217391</v>
      </c>
      <c r="G229" s="41">
        <f>SUM(G215:G228)</f>
        <v>1231668</v>
      </c>
      <c r="H229" s="41">
        <f>SUM(H215:H228)</f>
        <v>791759</v>
      </c>
      <c r="I229" s="41">
        <f>SUM(I215:I228)</f>
        <v>166723</v>
      </c>
      <c r="J229" s="41">
        <f>SUM(J215:J228)</f>
        <v>23054</v>
      </c>
      <c r="K229" s="41">
        <f t="shared" si="3"/>
        <v>6574</v>
      </c>
      <c r="L229" s="41">
        <f t="shared" si="3"/>
        <v>4437169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f>1808012+14733</f>
        <v>1822745</v>
      </c>
      <c r="G233" s="18">
        <f>929579+7365</f>
        <v>936944</v>
      </c>
      <c r="H233" s="18">
        <v>24025</v>
      </c>
      <c r="I233" s="18">
        <v>38091</v>
      </c>
      <c r="J233" s="18">
        <v>11873</v>
      </c>
      <c r="K233" s="18">
        <v>11948</v>
      </c>
      <c r="L233" s="19">
        <f>SUM(F233:K233)</f>
        <v>2845626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f>678943+57499</f>
        <v>736442</v>
      </c>
      <c r="G234" s="18">
        <f>419781+21449</f>
        <v>441230</v>
      </c>
      <c r="H234" s="18">
        <f>349170+522</f>
        <v>349692</v>
      </c>
      <c r="I234" s="18">
        <v>8430</v>
      </c>
      <c r="J234" s="18">
        <v>3182</v>
      </c>
      <c r="K234" s="18">
        <f>270+4</f>
        <v>274</v>
      </c>
      <c r="L234" s="19">
        <f>SUM(F234:K234)</f>
        <v>1539250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>
        <v>29344</v>
      </c>
      <c r="I235" s="18"/>
      <c r="J235" s="18"/>
      <c r="K235" s="18"/>
      <c r="L235" s="19">
        <f>SUM(F235:K235)</f>
        <v>29344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v>123051</v>
      </c>
      <c r="G236" s="18">
        <v>36367</v>
      </c>
      <c r="H236" s="18">
        <v>18194</v>
      </c>
      <c r="I236" s="18">
        <v>23956</v>
      </c>
      <c r="J236" s="18">
        <v>15360</v>
      </c>
      <c r="K236" s="18">
        <v>9399</v>
      </c>
      <c r="L236" s="19">
        <f>SUM(F236:K236)</f>
        <v>226327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f>303435+8082</f>
        <v>311517</v>
      </c>
      <c r="G238" s="18">
        <f>143476+5126</f>
        <v>148602</v>
      </c>
      <c r="H238" s="18">
        <f>63291+21976</f>
        <v>85267</v>
      </c>
      <c r="I238" s="18">
        <v>2521</v>
      </c>
      <c r="J238" s="18">
        <v>0</v>
      </c>
      <c r="K238" s="18">
        <v>0</v>
      </c>
      <c r="L238" s="19">
        <f t="shared" ref="L238:L244" si="4">SUM(F238:K238)</f>
        <v>547907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f>60582+51100</f>
        <v>111682</v>
      </c>
      <c r="G239" s="18">
        <f>14081+30925</f>
        <v>45006</v>
      </c>
      <c r="H239" s="18">
        <v>19384</v>
      </c>
      <c r="I239" s="18">
        <f>20098+25202</f>
        <v>45300</v>
      </c>
      <c r="J239" s="18">
        <f>4204+24204</f>
        <v>28408</v>
      </c>
      <c r="K239" s="18">
        <f>187+162</f>
        <v>349</v>
      </c>
      <c r="L239" s="19">
        <f t="shared" si="4"/>
        <v>250129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2710</v>
      </c>
      <c r="G240" s="18">
        <v>21736</v>
      </c>
      <c r="H240" s="18">
        <v>269500</v>
      </c>
      <c r="I240" s="18"/>
      <c r="J240" s="18"/>
      <c r="K240" s="18">
        <v>2866</v>
      </c>
      <c r="L240" s="19">
        <f t="shared" si="4"/>
        <v>296812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v>269695</v>
      </c>
      <c r="G241" s="18">
        <f>110445+4616</f>
        <v>115061</v>
      </c>
      <c r="H241" s="18">
        <v>12752</v>
      </c>
      <c r="I241" s="18">
        <v>3687</v>
      </c>
      <c r="J241" s="18">
        <v>1067</v>
      </c>
      <c r="K241" s="18">
        <v>20982</v>
      </c>
      <c r="L241" s="19">
        <f t="shared" si="4"/>
        <v>423244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>
        <v>3113</v>
      </c>
      <c r="J242" s="18"/>
      <c r="K242" s="18"/>
      <c r="L242" s="19">
        <f t="shared" si="4"/>
        <v>3113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v>42228</v>
      </c>
      <c r="G243" s="18">
        <v>24336</v>
      </c>
      <c r="H243" s="18">
        <f>49138+303255</f>
        <v>352393</v>
      </c>
      <c r="I243" s="18">
        <f>14495+109583</f>
        <v>124078</v>
      </c>
      <c r="J243" s="18">
        <v>265</v>
      </c>
      <c r="K243" s="18"/>
      <c r="L243" s="19">
        <f t="shared" si="4"/>
        <v>543300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v>287507</v>
      </c>
      <c r="I244" s="18"/>
      <c r="J244" s="18"/>
      <c r="K244" s="18"/>
      <c r="L244" s="19">
        <f t="shared" si="4"/>
        <v>287507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3420070</v>
      </c>
      <c r="G247" s="41">
        <f t="shared" si="5"/>
        <v>1769282</v>
      </c>
      <c r="H247" s="41">
        <f t="shared" si="5"/>
        <v>1448058</v>
      </c>
      <c r="I247" s="41">
        <f t="shared" si="5"/>
        <v>249176</v>
      </c>
      <c r="J247" s="41">
        <f t="shared" si="5"/>
        <v>60155</v>
      </c>
      <c r="K247" s="41">
        <f t="shared" si="5"/>
        <v>45818</v>
      </c>
      <c r="L247" s="41">
        <f t="shared" si="5"/>
        <v>6992559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9593753</v>
      </c>
      <c r="G257" s="41">
        <f t="shared" si="8"/>
        <v>5109746</v>
      </c>
      <c r="H257" s="41">
        <f t="shared" si="8"/>
        <v>3649094</v>
      </c>
      <c r="I257" s="41">
        <f t="shared" si="8"/>
        <v>724912</v>
      </c>
      <c r="J257" s="41">
        <f t="shared" si="8"/>
        <v>134175</v>
      </c>
      <c r="K257" s="41">
        <f t="shared" si="8"/>
        <v>54027</v>
      </c>
      <c r="L257" s="41">
        <f t="shared" si="8"/>
        <v>19265707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735000</v>
      </c>
      <c r="L260" s="19">
        <f>SUM(F260:K260)</f>
        <v>735000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206495</v>
      </c>
      <c r="L261" s="19">
        <f>SUM(F261:K261)</f>
        <v>206495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15000</v>
      </c>
      <c r="L263" s="19">
        <f>SUM(F263:K263)</f>
        <v>15000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200000</v>
      </c>
      <c r="L266" s="19">
        <f t="shared" si="9"/>
        <v>200000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1156495</v>
      </c>
      <c r="L270" s="41">
        <f t="shared" si="9"/>
        <v>1156495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9593753</v>
      </c>
      <c r="G271" s="42">
        <f t="shared" si="11"/>
        <v>5109746</v>
      </c>
      <c r="H271" s="42">
        <f t="shared" si="11"/>
        <v>3649094</v>
      </c>
      <c r="I271" s="42">
        <f t="shared" si="11"/>
        <v>724912</v>
      </c>
      <c r="J271" s="42">
        <f t="shared" si="11"/>
        <v>134175</v>
      </c>
      <c r="K271" s="42">
        <f t="shared" si="11"/>
        <v>1210522</v>
      </c>
      <c r="L271" s="42">
        <f t="shared" si="11"/>
        <v>20422202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f>447096+90770</f>
        <v>537866</v>
      </c>
      <c r="G276" s="18">
        <f>166506+8238</f>
        <v>174744</v>
      </c>
      <c r="H276" s="18">
        <f>22387+4565+12073</f>
        <v>39025</v>
      </c>
      <c r="I276" s="18">
        <f>39776+3867</f>
        <v>43643</v>
      </c>
      <c r="J276" s="18">
        <v>22141</v>
      </c>
      <c r="K276" s="18">
        <v>3156</v>
      </c>
      <c r="L276" s="19">
        <f>SUM(F276:K276)</f>
        <v>820575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537866</v>
      </c>
      <c r="G290" s="42">
        <f t="shared" si="13"/>
        <v>174744</v>
      </c>
      <c r="H290" s="42">
        <f t="shared" si="13"/>
        <v>39025</v>
      </c>
      <c r="I290" s="42">
        <f t="shared" si="13"/>
        <v>43643</v>
      </c>
      <c r="J290" s="42">
        <f t="shared" si="13"/>
        <v>22141</v>
      </c>
      <c r="K290" s="42">
        <f t="shared" si="13"/>
        <v>3156</v>
      </c>
      <c r="L290" s="41">
        <f t="shared" si="13"/>
        <v>820575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>
        <f>34161+23391</f>
        <v>57552</v>
      </c>
      <c r="G295" s="18">
        <f>5844+6472</f>
        <v>12316</v>
      </c>
      <c r="H295" s="18">
        <f>10881+196</f>
        <v>11077</v>
      </c>
      <c r="I295" s="18">
        <f>2619+2585</f>
        <v>5204</v>
      </c>
      <c r="J295" s="18"/>
      <c r="K295" s="18"/>
      <c r="L295" s="19">
        <f>SUM(F295:K295)</f>
        <v>86149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57552</v>
      </c>
      <c r="G309" s="42">
        <f t="shared" si="15"/>
        <v>12316</v>
      </c>
      <c r="H309" s="42">
        <f t="shared" si="15"/>
        <v>11077</v>
      </c>
      <c r="I309" s="42">
        <f t="shared" si="15"/>
        <v>5204</v>
      </c>
      <c r="J309" s="42">
        <f t="shared" si="15"/>
        <v>0</v>
      </c>
      <c r="K309" s="42">
        <f t="shared" si="15"/>
        <v>0</v>
      </c>
      <c r="L309" s="41">
        <f t="shared" si="15"/>
        <v>86149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>
        <v>41946</v>
      </c>
      <c r="G314" s="18">
        <v>10037</v>
      </c>
      <c r="H314" s="18">
        <f>56481+500</f>
        <v>56981</v>
      </c>
      <c r="I314" s="18">
        <f>4505+796+39520</f>
        <v>44821</v>
      </c>
      <c r="J314" s="18"/>
      <c r="K314" s="18"/>
      <c r="L314" s="19">
        <f>SUM(F314:K314)</f>
        <v>153785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41946</v>
      </c>
      <c r="G328" s="42">
        <f t="shared" si="17"/>
        <v>10037</v>
      </c>
      <c r="H328" s="42">
        <f t="shared" si="17"/>
        <v>56981</v>
      </c>
      <c r="I328" s="42">
        <f t="shared" si="17"/>
        <v>44821</v>
      </c>
      <c r="J328" s="42">
        <f t="shared" si="17"/>
        <v>0</v>
      </c>
      <c r="K328" s="42">
        <f t="shared" si="17"/>
        <v>0</v>
      </c>
      <c r="L328" s="41">
        <f t="shared" si="17"/>
        <v>153785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637364</v>
      </c>
      <c r="G338" s="41">
        <f t="shared" si="20"/>
        <v>197097</v>
      </c>
      <c r="H338" s="41">
        <f t="shared" si="20"/>
        <v>107083</v>
      </c>
      <c r="I338" s="41">
        <f t="shared" si="20"/>
        <v>93668</v>
      </c>
      <c r="J338" s="41">
        <f t="shared" si="20"/>
        <v>22141</v>
      </c>
      <c r="K338" s="41">
        <f t="shared" si="20"/>
        <v>3156</v>
      </c>
      <c r="L338" s="41">
        <f t="shared" si="20"/>
        <v>1060509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637364</v>
      </c>
      <c r="G352" s="41">
        <f>G338</f>
        <v>197097</v>
      </c>
      <c r="H352" s="41">
        <f>H338</f>
        <v>107083</v>
      </c>
      <c r="I352" s="41">
        <f>I338</f>
        <v>93668</v>
      </c>
      <c r="J352" s="41">
        <f>J338</f>
        <v>22141</v>
      </c>
      <c r="K352" s="47">
        <f>K338+K351</f>
        <v>3156</v>
      </c>
      <c r="L352" s="41">
        <f>L338+L351</f>
        <v>1060509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80489</v>
      </c>
      <c r="G358" s="18">
        <v>58451</v>
      </c>
      <c r="H358" s="18">
        <v>3241</v>
      </c>
      <c r="I358" s="18">
        <v>113294</v>
      </c>
      <c r="J358" s="18">
        <v>2682</v>
      </c>
      <c r="K358" s="18"/>
      <c r="L358" s="13">
        <f>SUM(F358:K358)</f>
        <v>258157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>
        <v>58692</v>
      </c>
      <c r="G359" s="18">
        <v>29329</v>
      </c>
      <c r="H359" s="18">
        <v>1911</v>
      </c>
      <c r="I359" s="18">
        <v>84469</v>
      </c>
      <c r="J359" s="18">
        <v>1581</v>
      </c>
      <c r="K359" s="18"/>
      <c r="L359" s="19">
        <f>SUM(F359:K359)</f>
        <v>175982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>
        <v>55484</v>
      </c>
      <c r="G360" s="18">
        <v>11359</v>
      </c>
      <c r="H360" s="18">
        <v>2151</v>
      </c>
      <c r="I360" s="18">
        <v>85340</v>
      </c>
      <c r="J360" s="18">
        <v>1780</v>
      </c>
      <c r="K360" s="18"/>
      <c r="L360" s="19">
        <f>SUM(F360:K360)</f>
        <v>156114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194665</v>
      </c>
      <c r="G362" s="47">
        <f t="shared" si="22"/>
        <v>99139</v>
      </c>
      <c r="H362" s="47">
        <f t="shared" si="22"/>
        <v>7303</v>
      </c>
      <c r="I362" s="47">
        <f t="shared" si="22"/>
        <v>283103</v>
      </c>
      <c r="J362" s="47">
        <f t="shared" si="22"/>
        <v>6043</v>
      </c>
      <c r="K362" s="47">
        <f t="shared" si="22"/>
        <v>0</v>
      </c>
      <c r="L362" s="47">
        <f t="shared" si="22"/>
        <v>590253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103217</v>
      </c>
      <c r="G367" s="18">
        <v>74829</v>
      </c>
      <c r="H367" s="18">
        <v>73455</v>
      </c>
      <c r="I367" s="56">
        <f>SUM(F367:H367)</f>
        <v>251501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10077</v>
      </c>
      <c r="G368" s="63">
        <v>9639</v>
      </c>
      <c r="H368" s="63">
        <v>11886</v>
      </c>
      <c r="I368" s="56">
        <f>SUM(F368:H368)</f>
        <v>31602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113294</v>
      </c>
      <c r="G369" s="47">
        <f>SUM(G367:G368)</f>
        <v>84468</v>
      </c>
      <c r="H369" s="47">
        <f>SUM(H367:H368)</f>
        <v>85341</v>
      </c>
      <c r="I369" s="47">
        <f>SUM(I367:I368)</f>
        <v>283103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>
        <v>100000</v>
      </c>
      <c r="H396" s="18"/>
      <c r="I396" s="18"/>
      <c r="J396" s="24" t="s">
        <v>288</v>
      </c>
      <c r="K396" s="24" t="s">
        <v>288</v>
      </c>
      <c r="L396" s="56">
        <f t="shared" si="26"/>
        <v>100000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>
        <v>100000</v>
      </c>
      <c r="H397" s="18"/>
      <c r="I397" s="18"/>
      <c r="J397" s="24" t="s">
        <v>288</v>
      </c>
      <c r="K397" s="24" t="s">
        <v>288</v>
      </c>
      <c r="L397" s="56">
        <f t="shared" si="26"/>
        <v>100000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200000</v>
      </c>
      <c r="H401" s="47">
        <f>SUM(H395:H400)</f>
        <v>0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200000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200000</v>
      </c>
      <c r="H408" s="47">
        <f>H393+H401+H407</f>
        <v>0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200000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>
        <v>175842</v>
      </c>
      <c r="L422" s="56">
        <f t="shared" si="29"/>
        <v>175842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175842</v>
      </c>
      <c r="L427" s="47">
        <f t="shared" si="30"/>
        <v>175842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175842</v>
      </c>
      <c r="L434" s="47">
        <f t="shared" si="32"/>
        <v>175842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>
        <v>734239</v>
      </c>
      <c r="H439" s="18"/>
      <c r="I439" s="56">
        <f t="shared" ref="I439:I445" si="33">SUM(F439:H439)</f>
        <v>734239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734239</v>
      </c>
      <c r="H446" s="13">
        <f>SUM(H439:H445)</f>
        <v>0</v>
      </c>
      <c r="I446" s="13">
        <f>SUM(I439:I445)</f>
        <v>734239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>
        <v>734239</v>
      </c>
      <c r="H459" s="18"/>
      <c r="I459" s="56">
        <f t="shared" si="34"/>
        <v>734239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734239</v>
      </c>
      <c r="H460" s="83">
        <f>SUM(H454:H459)</f>
        <v>0</v>
      </c>
      <c r="I460" s="83">
        <f>SUM(I454:I459)</f>
        <v>734239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734239</v>
      </c>
      <c r="H461" s="42">
        <f>H452+H460</f>
        <v>0</v>
      </c>
      <c r="I461" s="42">
        <f>I452+I460</f>
        <v>734239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903886</v>
      </c>
      <c r="G465" s="18">
        <v>62759</v>
      </c>
      <c r="H465" s="18">
        <v>301822</v>
      </c>
      <c r="I465" s="18">
        <v>0</v>
      </c>
      <c r="J465" s="18">
        <v>708719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21270629</v>
      </c>
      <c r="G468" s="18">
        <v>604785</v>
      </c>
      <c r="H468" s="18">
        <v>1003893</v>
      </c>
      <c r="I468" s="18">
        <v>0</v>
      </c>
      <c r="J468" s="18">
        <v>200000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>
        <v>1362</v>
      </c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21270629</v>
      </c>
      <c r="G470" s="53">
        <f>SUM(G468:G469)</f>
        <v>604785</v>
      </c>
      <c r="H470" s="53">
        <f>SUM(H468:H469)</f>
        <v>1003893</v>
      </c>
      <c r="I470" s="53">
        <f>SUM(I468:I469)</f>
        <v>0</v>
      </c>
      <c r="J470" s="53">
        <f>SUM(J468:J469)</f>
        <v>201362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20422202</v>
      </c>
      <c r="G472" s="18">
        <v>590253</v>
      </c>
      <c r="H472" s="18">
        <v>1060509</v>
      </c>
      <c r="I472" s="18"/>
      <c r="J472" s="18">
        <v>175842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20422202</v>
      </c>
      <c r="G474" s="53">
        <f>SUM(G472:G473)</f>
        <v>590253</v>
      </c>
      <c r="H474" s="53">
        <f>SUM(H472:H473)</f>
        <v>1060509</v>
      </c>
      <c r="I474" s="53">
        <f>SUM(I472:I473)</f>
        <v>0</v>
      </c>
      <c r="J474" s="53">
        <f>SUM(J472:J473)</f>
        <v>175842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1752313</v>
      </c>
      <c r="G476" s="53">
        <f>(G465+G470)- G474</f>
        <v>77291</v>
      </c>
      <c r="H476" s="53">
        <f>(H465+H470)- H474</f>
        <v>245206</v>
      </c>
      <c r="I476" s="53">
        <f>(I465+I470)- I474</f>
        <v>0</v>
      </c>
      <c r="J476" s="53">
        <f>(J465+J470)- J474</f>
        <v>734239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 t="s">
        <v>914</v>
      </c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20</v>
      </c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912</v>
      </c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913</v>
      </c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14750000</v>
      </c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4.5</v>
      </c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5145000</v>
      </c>
      <c r="G495" s="18"/>
      <c r="H495" s="18"/>
      <c r="I495" s="18"/>
      <c r="J495" s="18"/>
      <c r="K495" s="53">
        <f>SUM(F495:J495)</f>
        <v>5145000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735000</v>
      </c>
      <c r="G497" s="18"/>
      <c r="H497" s="18"/>
      <c r="I497" s="18"/>
      <c r="J497" s="18"/>
      <c r="K497" s="53">
        <f t="shared" si="35"/>
        <v>735000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4410000</v>
      </c>
      <c r="G498" s="204"/>
      <c r="H498" s="204"/>
      <c r="I498" s="204"/>
      <c r="J498" s="204"/>
      <c r="K498" s="205">
        <f t="shared" si="35"/>
        <v>4410000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604535</v>
      </c>
      <c r="G499" s="18"/>
      <c r="H499" s="18"/>
      <c r="I499" s="18"/>
      <c r="J499" s="18"/>
      <c r="K499" s="53">
        <f t="shared" si="35"/>
        <v>604535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5014535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5014535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735000</v>
      </c>
      <c r="G501" s="204"/>
      <c r="H501" s="204"/>
      <c r="I501" s="204"/>
      <c r="J501" s="204"/>
      <c r="K501" s="205">
        <f t="shared" si="35"/>
        <v>735000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173787.5</v>
      </c>
      <c r="G502" s="18"/>
      <c r="H502" s="18"/>
      <c r="I502" s="18"/>
      <c r="J502" s="18"/>
      <c r="K502" s="53">
        <f t="shared" si="35"/>
        <v>173787.5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908787.5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908787.5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851243</v>
      </c>
      <c r="G521" s="18">
        <v>615863</v>
      </c>
      <c r="H521" s="18">
        <v>149769</v>
      </c>
      <c r="I521" s="18">
        <v>7613</v>
      </c>
      <c r="J521" s="18">
        <v>1982</v>
      </c>
      <c r="K521" s="18">
        <v>519</v>
      </c>
      <c r="L521" s="88">
        <f>SUM(F521:K521)</f>
        <v>1626989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v>382372</v>
      </c>
      <c r="G522" s="18">
        <v>282822</v>
      </c>
      <c r="H522" s="18">
        <v>77253</v>
      </c>
      <c r="I522" s="18">
        <v>2046</v>
      </c>
      <c r="J522" s="18">
        <v>249</v>
      </c>
      <c r="K522" s="18">
        <v>519</v>
      </c>
      <c r="L522" s="88">
        <f>SUM(F522:K522)</f>
        <v>745261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v>678943</v>
      </c>
      <c r="G523" s="18">
        <v>419781</v>
      </c>
      <c r="H523" s="18">
        <v>349170</v>
      </c>
      <c r="I523" s="18">
        <v>8430</v>
      </c>
      <c r="J523" s="18">
        <v>3182</v>
      </c>
      <c r="K523" s="18">
        <v>270</v>
      </c>
      <c r="L523" s="88">
        <f>SUM(F523:K523)</f>
        <v>1459776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1912558</v>
      </c>
      <c r="G524" s="108">
        <f t="shared" ref="G524:L524" si="36">SUM(G521:G523)</f>
        <v>1318466</v>
      </c>
      <c r="H524" s="108">
        <f t="shared" si="36"/>
        <v>576192</v>
      </c>
      <c r="I524" s="108">
        <f t="shared" si="36"/>
        <v>18089</v>
      </c>
      <c r="J524" s="108">
        <f t="shared" si="36"/>
        <v>5413</v>
      </c>
      <c r="K524" s="108">
        <f t="shared" si="36"/>
        <v>1308</v>
      </c>
      <c r="L524" s="89">
        <f t="shared" si="36"/>
        <v>3832026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361023</v>
      </c>
      <c r="G526" s="18">
        <v>201213</v>
      </c>
      <c r="H526" s="18"/>
      <c r="I526" s="18">
        <v>1265</v>
      </c>
      <c r="J526" s="18"/>
      <c r="K526" s="18"/>
      <c r="L526" s="88">
        <f>SUM(F526:K526)</f>
        <v>563501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>
        <v>99690</v>
      </c>
      <c r="G527" s="18">
        <v>56311</v>
      </c>
      <c r="H527" s="18"/>
      <c r="I527" s="18">
        <v>743</v>
      </c>
      <c r="J527" s="18">
        <v>0</v>
      </c>
      <c r="K527" s="18"/>
      <c r="L527" s="88">
        <f>SUM(F527:K527)</f>
        <v>156744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>
        <v>96162</v>
      </c>
      <c r="G528" s="18">
        <v>41677</v>
      </c>
      <c r="H528" s="18"/>
      <c r="I528" s="18">
        <v>469</v>
      </c>
      <c r="J528" s="18"/>
      <c r="K528" s="18"/>
      <c r="L528" s="88">
        <f>SUM(F528:K528)</f>
        <v>138308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556875</v>
      </c>
      <c r="G529" s="89">
        <f t="shared" ref="G529:L529" si="37">SUM(G526:G528)</f>
        <v>299201</v>
      </c>
      <c r="H529" s="89">
        <f t="shared" si="37"/>
        <v>0</v>
      </c>
      <c r="I529" s="89">
        <f t="shared" si="37"/>
        <v>2477</v>
      </c>
      <c r="J529" s="89">
        <f t="shared" si="37"/>
        <v>0</v>
      </c>
      <c r="K529" s="89">
        <f t="shared" si="37"/>
        <v>0</v>
      </c>
      <c r="L529" s="89">
        <f t="shared" si="37"/>
        <v>858553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91676</v>
      </c>
      <c r="G531" s="18">
        <v>33812</v>
      </c>
      <c r="H531" s="18">
        <v>787</v>
      </c>
      <c r="I531" s="18"/>
      <c r="J531" s="18"/>
      <c r="K531" s="18">
        <v>7</v>
      </c>
      <c r="L531" s="88">
        <f>SUM(F531:K531)</f>
        <v>126282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>
        <v>54061</v>
      </c>
      <c r="G532" s="18">
        <v>19939</v>
      </c>
      <c r="H532" s="18">
        <v>464</v>
      </c>
      <c r="I532" s="18"/>
      <c r="J532" s="18"/>
      <c r="K532" s="18">
        <v>4</v>
      </c>
      <c r="L532" s="88">
        <f>SUM(F532:K532)</f>
        <v>74468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v>60841</v>
      </c>
      <c r="G533" s="18">
        <v>22440</v>
      </c>
      <c r="H533" s="18">
        <v>522</v>
      </c>
      <c r="I533" s="18"/>
      <c r="J533" s="18"/>
      <c r="K533" s="18">
        <v>4</v>
      </c>
      <c r="L533" s="88">
        <f>SUM(F533:K533)</f>
        <v>83807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206578</v>
      </c>
      <c r="G534" s="89">
        <f t="shared" ref="G534:L534" si="38">SUM(G531:G533)</f>
        <v>76191</v>
      </c>
      <c r="H534" s="89">
        <f t="shared" si="38"/>
        <v>1773</v>
      </c>
      <c r="I534" s="89">
        <f t="shared" si="38"/>
        <v>0</v>
      </c>
      <c r="J534" s="89">
        <f t="shared" si="38"/>
        <v>0</v>
      </c>
      <c r="K534" s="89">
        <f t="shared" si="38"/>
        <v>15</v>
      </c>
      <c r="L534" s="89">
        <f t="shared" si="38"/>
        <v>284557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128174</v>
      </c>
      <c r="I541" s="18"/>
      <c r="J541" s="18"/>
      <c r="K541" s="18"/>
      <c r="L541" s="88">
        <f>SUM(F541:K541)</f>
        <v>128174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>
        <v>16958</v>
      </c>
      <c r="I542" s="18"/>
      <c r="J542" s="18"/>
      <c r="K542" s="18"/>
      <c r="L542" s="88">
        <f>SUM(F542:K542)</f>
        <v>16958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v>71190</v>
      </c>
      <c r="I543" s="18"/>
      <c r="J543" s="18"/>
      <c r="K543" s="18"/>
      <c r="L543" s="88">
        <f>SUM(F543:K543)</f>
        <v>71190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216322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216322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2676011</v>
      </c>
      <c r="G545" s="89">
        <f t="shared" ref="G545:L545" si="41">G524+G529+G534+G539+G544</f>
        <v>1693858</v>
      </c>
      <c r="H545" s="89">
        <f t="shared" si="41"/>
        <v>794287</v>
      </c>
      <c r="I545" s="89">
        <f t="shared" si="41"/>
        <v>20566</v>
      </c>
      <c r="J545" s="89">
        <f t="shared" si="41"/>
        <v>5413</v>
      </c>
      <c r="K545" s="89">
        <f t="shared" si="41"/>
        <v>1323</v>
      </c>
      <c r="L545" s="89">
        <f t="shared" si="41"/>
        <v>5191458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1626989</v>
      </c>
      <c r="G549" s="87">
        <f>L526</f>
        <v>563501</v>
      </c>
      <c r="H549" s="87">
        <f>L531</f>
        <v>126282</v>
      </c>
      <c r="I549" s="87">
        <f>L536</f>
        <v>0</v>
      </c>
      <c r="J549" s="87">
        <f>L541</f>
        <v>128174</v>
      </c>
      <c r="K549" s="87">
        <f>SUM(F549:J549)</f>
        <v>2444946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745261</v>
      </c>
      <c r="G550" s="87">
        <f>L527</f>
        <v>156744</v>
      </c>
      <c r="H550" s="87">
        <f>L532</f>
        <v>74468</v>
      </c>
      <c r="I550" s="87">
        <f>L537</f>
        <v>0</v>
      </c>
      <c r="J550" s="87">
        <f>L542</f>
        <v>16958</v>
      </c>
      <c r="K550" s="87">
        <f>SUM(F550:J550)</f>
        <v>993431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1459776</v>
      </c>
      <c r="G551" s="87">
        <f>L528</f>
        <v>138308</v>
      </c>
      <c r="H551" s="87">
        <f>L533</f>
        <v>83807</v>
      </c>
      <c r="I551" s="87">
        <f>L538</f>
        <v>0</v>
      </c>
      <c r="J551" s="87">
        <f>L543</f>
        <v>71190</v>
      </c>
      <c r="K551" s="87">
        <f>SUM(F551:J551)</f>
        <v>1753081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3832026</v>
      </c>
      <c r="G552" s="89">
        <f t="shared" si="42"/>
        <v>858553</v>
      </c>
      <c r="H552" s="89">
        <f t="shared" si="42"/>
        <v>284557</v>
      </c>
      <c r="I552" s="89">
        <f t="shared" si="42"/>
        <v>0</v>
      </c>
      <c r="J552" s="89">
        <f t="shared" si="42"/>
        <v>216322</v>
      </c>
      <c r="K552" s="89">
        <f t="shared" si="42"/>
        <v>5191458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138179</v>
      </c>
      <c r="G582" s="18">
        <v>62473</v>
      </c>
      <c r="H582" s="18">
        <v>348568</v>
      </c>
      <c r="I582" s="87">
        <f t="shared" si="47"/>
        <v>549220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>
        <v>29344</v>
      </c>
      <c r="I584" s="87">
        <f t="shared" si="47"/>
        <v>29344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190497</v>
      </c>
      <c r="I591" s="18">
        <v>112335</v>
      </c>
      <c r="J591" s="18">
        <v>126424</v>
      </c>
      <c r="K591" s="104">
        <f t="shared" ref="K591:K597" si="48">SUM(H591:J591)</f>
        <v>429256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128175</v>
      </c>
      <c r="I592" s="18">
        <v>16958</v>
      </c>
      <c r="J592" s="18">
        <v>71190</v>
      </c>
      <c r="K592" s="104">
        <f t="shared" si="48"/>
        <v>216323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>
        <v>50227</v>
      </c>
      <c r="K593" s="104">
        <f t="shared" si="48"/>
        <v>50227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>
        <v>0</v>
      </c>
      <c r="I594" s="18">
        <v>0</v>
      </c>
      <c r="J594" s="18">
        <v>35402</v>
      </c>
      <c r="K594" s="104">
        <f t="shared" si="48"/>
        <v>35402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6174</v>
      </c>
      <c r="I595" s="18">
        <v>12843</v>
      </c>
      <c r="J595" s="18">
        <v>4264</v>
      </c>
      <c r="K595" s="104">
        <f t="shared" si="48"/>
        <v>23281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324846</v>
      </c>
      <c r="I598" s="108">
        <f>SUM(I591:I597)</f>
        <v>142136</v>
      </c>
      <c r="J598" s="108">
        <f>SUM(J591:J597)</f>
        <v>287507</v>
      </c>
      <c r="K598" s="108">
        <f>SUM(K591:K597)</f>
        <v>754489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73107</v>
      </c>
      <c r="I604" s="18">
        <v>23054</v>
      </c>
      <c r="J604" s="18">
        <v>60155</v>
      </c>
      <c r="K604" s="104">
        <f>SUM(H604:J604)</f>
        <v>156316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73107</v>
      </c>
      <c r="I605" s="108">
        <f>SUM(I602:I604)</f>
        <v>23054</v>
      </c>
      <c r="J605" s="108">
        <f>SUM(J602:J604)</f>
        <v>60155</v>
      </c>
      <c r="K605" s="108">
        <f>SUM(K602:K604)</f>
        <v>156316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2433488</v>
      </c>
      <c r="H617" s="109">
        <f>SUM(F52)</f>
        <v>2433488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89835</v>
      </c>
      <c r="H618" s="109">
        <f>SUM(G52)</f>
        <v>89835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298096</v>
      </c>
      <c r="H619" s="109">
        <f>SUM(H52)</f>
        <v>298096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734239</v>
      </c>
      <c r="H621" s="109">
        <f>SUM(J52)</f>
        <v>734239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1752313</v>
      </c>
      <c r="H622" s="109">
        <f>F476</f>
        <v>1752313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77291</v>
      </c>
      <c r="H623" s="109">
        <f>G476</f>
        <v>77291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245206</v>
      </c>
      <c r="H624" s="109">
        <f>H476</f>
        <v>245206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734239</v>
      </c>
      <c r="H626" s="109">
        <f>J476</f>
        <v>734239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21270629</v>
      </c>
      <c r="H627" s="104">
        <f>SUM(F468)</f>
        <v>21270629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604785</v>
      </c>
      <c r="H628" s="104">
        <f>SUM(G468)</f>
        <v>604785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1003893</v>
      </c>
      <c r="H629" s="104">
        <f>SUM(H468)</f>
        <v>1003893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200000</v>
      </c>
      <c r="H631" s="104">
        <f>SUM(J468)</f>
        <v>200000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20422202</v>
      </c>
      <c r="H632" s="104">
        <f>SUM(F472)</f>
        <v>20422202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1060509</v>
      </c>
      <c r="H633" s="104">
        <f>SUM(H472)</f>
        <v>1060509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283103</v>
      </c>
      <c r="H634" s="104">
        <f>I369</f>
        <v>283103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590253</v>
      </c>
      <c r="H635" s="104">
        <f>SUM(G472)</f>
        <v>590253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200000</v>
      </c>
      <c r="H637" s="164">
        <f>SUM(J468)</f>
        <v>200000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175842</v>
      </c>
      <c r="H638" s="164">
        <f>SUM(J472)</f>
        <v>175842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734239</v>
      </c>
      <c r="H640" s="104">
        <f>SUM(G461)</f>
        <v>734239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734239</v>
      </c>
      <c r="H642" s="104">
        <f>SUM(I461)</f>
        <v>734239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0</v>
      </c>
      <c r="H644" s="104">
        <f>H408</f>
        <v>0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200000</v>
      </c>
      <c r="H645" s="104">
        <f>G408</f>
        <v>200000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200000</v>
      </c>
      <c r="H646" s="104">
        <f>L408</f>
        <v>200000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754489</v>
      </c>
      <c r="H647" s="104">
        <f>L208+L226+L244</f>
        <v>754489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156316</v>
      </c>
      <c r="H648" s="104">
        <f>(J257+J338)-(J255+J336)</f>
        <v>156316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324846</v>
      </c>
      <c r="H649" s="104">
        <f>H598</f>
        <v>324846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142136</v>
      </c>
      <c r="H650" s="104">
        <f>I598</f>
        <v>142136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287507</v>
      </c>
      <c r="H651" s="104">
        <f>J598</f>
        <v>287507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15000</v>
      </c>
      <c r="H652" s="104">
        <f>K263+K345</f>
        <v>15000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200000</v>
      </c>
      <c r="H655" s="104">
        <f>K266+K347</f>
        <v>200000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8914711</v>
      </c>
      <c r="G660" s="19">
        <f>(L229+L309+L359)</f>
        <v>4699300</v>
      </c>
      <c r="H660" s="19">
        <f>(L247+L328+L360)</f>
        <v>7302458</v>
      </c>
      <c r="I660" s="19">
        <f>SUM(F660:H660)</f>
        <v>20916469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111775.6177520487</v>
      </c>
      <c r="G661" s="19">
        <f>(L359/IF(SUM(L358:L360)=0,1,SUM(L358:L360))*(SUM(G97:G110)))</f>
        <v>76195.868263270168</v>
      </c>
      <c r="H661" s="19">
        <f>(L360/IF(SUM(L358:L360)=0,1,SUM(L358:L360))*(SUM(G97:G110)))</f>
        <v>67593.513984681151</v>
      </c>
      <c r="I661" s="19">
        <f>SUM(F661:H661)</f>
        <v>255565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324846</v>
      </c>
      <c r="G662" s="19">
        <f>(L226+L306)-(J226+J306)</f>
        <v>142136</v>
      </c>
      <c r="H662" s="19">
        <f>(L244+L325)-(J244+J325)</f>
        <v>287507</v>
      </c>
      <c r="I662" s="19">
        <f>SUM(F662:H662)</f>
        <v>754489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211286</v>
      </c>
      <c r="G663" s="199">
        <f>SUM(G575:G587)+SUM(I602:I604)+L612</f>
        <v>85527</v>
      </c>
      <c r="H663" s="199">
        <f>SUM(H575:H587)+SUM(J602:J604)+L613</f>
        <v>438067</v>
      </c>
      <c r="I663" s="19">
        <f>SUM(F663:H663)</f>
        <v>734880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8266803.3822479509</v>
      </c>
      <c r="G664" s="19">
        <f>G660-SUM(G661:G663)</f>
        <v>4395441.1317367302</v>
      </c>
      <c r="H664" s="19">
        <f>H660-SUM(H661:H663)</f>
        <v>6509290.4860153189</v>
      </c>
      <c r="I664" s="19">
        <f>I660-SUM(I661:I663)</f>
        <v>19171535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505.31</v>
      </c>
      <c r="G665" s="248">
        <v>297.98</v>
      </c>
      <c r="H665" s="248">
        <v>335.35</v>
      </c>
      <c r="I665" s="19">
        <f>SUM(F665:H665)</f>
        <v>1138.6399999999999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16359.86</v>
      </c>
      <c r="G667" s="19">
        <f>ROUND(G664/G665,2)</f>
        <v>14750.79</v>
      </c>
      <c r="H667" s="19">
        <f>ROUND(H664/H665,2)</f>
        <v>19410.439999999999</v>
      </c>
      <c r="I667" s="19">
        <f>ROUND(I664/I665,2)</f>
        <v>16837.22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-8.5</v>
      </c>
      <c r="I670" s="19">
        <f>SUM(F670:H670)</f>
        <v>-8.5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16359.86</v>
      </c>
      <c r="G672" s="19">
        <f>ROUND((G664+G669)/(G665+G670),2)</f>
        <v>14750.79</v>
      </c>
      <c r="H672" s="19">
        <f>ROUND((H664+H669)/(H665+H670),2)</f>
        <v>19915.22</v>
      </c>
      <c r="I672" s="19">
        <f>ROUND((I664+I669)/(I665+I670),2)</f>
        <v>16963.86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4" workbookViewId="0">
      <selection activeCell="C11" sqref="C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Hillsboro-Deering Coop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5756333</v>
      </c>
      <c r="C9" s="229">
        <f>'DOE25'!G197+'DOE25'!G215+'DOE25'!G233+'DOE25'!G276+'DOE25'!G295+'DOE25'!G314</f>
        <v>2694264</v>
      </c>
    </row>
    <row r="10" spans="1:3" x14ac:dyDescent="0.2">
      <c r="A10" t="s">
        <v>778</v>
      </c>
      <c r="B10" s="240">
        <v>5247034</v>
      </c>
      <c r="C10" s="240">
        <v>2455886</v>
      </c>
    </row>
    <row r="11" spans="1:3" x14ac:dyDescent="0.2">
      <c r="A11" t="s">
        <v>779</v>
      </c>
      <c r="B11" s="240">
        <v>154239</v>
      </c>
      <c r="C11" s="240">
        <v>72192</v>
      </c>
    </row>
    <row r="12" spans="1:3" x14ac:dyDescent="0.2">
      <c r="A12" t="s">
        <v>780</v>
      </c>
      <c r="B12" s="240">
        <v>355060</v>
      </c>
      <c r="C12" s="240">
        <v>166186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5756333</v>
      </c>
      <c r="C13" s="231">
        <f>SUM(C10:C12)</f>
        <v>2694264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2107790</v>
      </c>
      <c r="C18" s="229">
        <f>'DOE25'!G198+'DOE25'!G216+'DOE25'!G234+'DOE25'!G277+'DOE25'!G296+'DOE25'!G315</f>
        <v>1391294</v>
      </c>
    </row>
    <row r="19" spans="1:3" x14ac:dyDescent="0.2">
      <c r="A19" t="s">
        <v>778</v>
      </c>
      <c r="B19" s="240">
        <v>1241135</v>
      </c>
      <c r="C19" s="240">
        <v>970397</v>
      </c>
    </row>
    <row r="20" spans="1:3" x14ac:dyDescent="0.2">
      <c r="A20" t="s">
        <v>779</v>
      </c>
      <c r="B20" s="240">
        <v>621405</v>
      </c>
      <c r="C20" s="240">
        <v>385414</v>
      </c>
    </row>
    <row r="21" spans="1:3" x14ac:dyDescent="0.2">
      <c r="A21" t="s">
        <v>780</v>
      </c>
      <c r="B21" s="240">
        <v>245250</v>
      </c>
      <c r="C21" s="240">
        <v>35483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2107790</v>
      </c>
      <c r="C22" s="231">
        <f>SUM(C19:C21)</f>
        <v>1391294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127851</v>
      </c>
      <c r="C36" s="235">
        <f>'DOE25'!G200+'DOE25'!G218+'DOE25'!G236+'DOE25'!G279+'DOE25'!G298+'DOE25'!G317</f>
        <v>37474</v>
      </c>
    </row>
    <row r="37" spans="1:3" x14ac:dyDescent="0.2">
      <c r="A37" t="s">
        <v>778</v>
      </c>
      <c r="B37" s="240">
        <v>62791</v>
      </c>
      <c r="C37" s="240">
        <v>36951</v>
      </c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>
        <v>65060</v>
      </c>
      <c r="C39" s="240">
        <v>523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127851</v>
      </c>
      <c r="C40" s="231">
        <f>SUM(C37:C39)</f>
        <v>37474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Hillsboro-Deering Coop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12201004</v>
      </c>
      <c r="D5" s="20">
        <f>SUM('DOE25'!L197:L200)+SUM('DOE25'!L215:L218)+SUM('DOE25'!L233:L236)-F5-G5</f>
        <v>12137844</v>
      </c>
      <c r="E5" s="243"/>
      <c r="F5" s="255">
        <f>SUM('DOE25'!J197:J200)+SUM('DOE25'!J215:J218)+SUM('DOE25'!J233:J236)</f>
        <v>37164</v>
      </c>
      <c r="G5" s="53">
        <f>SUM('DOE25'!K197:K200)+SUM('DOE25'!K215:K218)+SUM('DOE25'!K233:K236)</f>
        <v>25996</v>
      </c>
      <c r="H5" s="259"/>
    </row>
    <row r="6" spans="1:9" x14ac:dyDescent="0.2">
      <c r="A6" s="32">
        <v>2100</v>
      </c>
      <c r="B6" t="s">
        <v>800</v>
      </c>
      <c r="C6" s="245">
        <f t="shared" si="0"/>
        <v>1718561</v>
      </c>
      <c r="D6" s="20">
        <f>'DOE25'!L202+'DOE25'!L220+'DOE25'!L238-F6-G6</f>
        <v>1718561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814204</v>
      </c>
      <c r="D7" s="20">
        <f>'DOE25'!L203+'DOE25'!L221+'DOE25'!L239-F7-G7</f>
        <v>722740</v>
      </c>
      <c r="E7" s="243"/>
      <c r="F7" s="255">
        <f>'DOE25'!J203+'DOE25'!J221+'DOE25'!J239</f>
        <v>90727</v>
      </c>
      <c r="G7" s="53">
        <f>'DOE25'!K203+'DOE25'!K221+'DOE25'!K239</f>
        <v>737</v>
      </c>
      <c r="H7" s="259"/>
    </row>
    <row r="8" spans="1:9" x14ac:dyDescent="0.2">
      <c r="A8" s="32">
        <v>2300</v>
      </c>
      <c r="B8" t="s">
        <v>801</v>
      </c>
      <c r="C8" s="245">
        <f t="shared" si="0"/>
        <v>747472</v>
      </c>
      <c r="D8" s="243"/>
      <c r="E8" s="20">
        <f>'DOE25'!L204+'DOE25'!L222+'DOE25'!L240-F8-G8-D9-D11</f>
        <v>737742</v>
      </c>
      <c r="F8" s="255">
        <f>'DOE25'!J204+'DOE25'!J222+'DOE25'!J240</f>
        <v>4318</v>
      </c>
      <c r="G8" s="53">
        <f>'DOE25'!K204+'DOE25'!K222+'DOE25'!K240</f>
        <v>5412</v>
      </c>
      <c r="H8" s="259"/>
    </row>
    <row r="9" spans="1:9" x14ac:dyDescent="0.2">
      <c r="A9" s="32">
        <v>2310</v>
      </c>
      <c r="B9" t="s">
        <v>817</v>
      </c>
      <c r="C9" s="245">
        <f t="shared" si="0"/>
        <v>22838</v>
      </c>
      <c r="D9" s="244">
        <v>22838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17450</v>
      </c>
      <c r="D10" s="243"/>
      <c r="E10" s="244">
        <v>17450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237475</v>
      </c>
      <c r="D11" s="244">
        <v>237475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1069579</v>
      </c>
      <c r="D12" s="20">
        <f>'DOE25'!L205+'DOE25'!L223+'DOE25'!L241-F12-G12</f>
        <v>1046630</v>
      </c>
      <c r="E12" s="243"/>
      <c r="F12" s="255">
        <f>'DOE25'!J205+'DOE25'!J223+'DOE25'!J241</f>
        <v>1067</v>
      </c>
      <c r="G12" s="53">
        <f>'DOE25'!K205+'DOE25'!K223+'DOE25'!K241</f>
        <v>21882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7804</v>
      </c>
      <c r="D13" s="243"/>
      <c r="E13" s="20">
        <f>'DOE25'!L206+'DOE25'!L224+'DOE25'!L242-F13-G13</f>
        <v>7804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1692281</v>
      </c>
      <c r="D14" s="20">
        <f>'DOE25'!L207+'DOE25'!L225+'DOE25'!L243-F14-G14</f>
        <v>1691382</v>
      </c>
      <c r="E14" s="243"/>
      <c r="F14" s="255">
        <f>'DOE25'!J207+'DOE25'!J225+'DOE25'!J243</f>
        <v>899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754489</v>
      </c>
      <c r="D15" s="20">
        <f>'DOE25'!L208+'DOE25'!L226+'DOE25'!L244-F15-G15</f>
        <v>754489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941495</v>
      </c>
      <c r="D25" s="243"/>
      <c r="E25" s="243"/>
      <c r="F25" s="258"/>
      <c r="G25" s="256"/>
      <c r="H25" s="257">
        <f>'DOE25'!L260+'DOE25'!L261+'DOE25'!L341+'DOE25'!L342</f>
        <v>941495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338752</v>
      </c>
      <c r="D29" s="20">
        <f>'DOE25'!L358+'DOE25'!L359+'DOE25'!L360-'DOE25'!I367-F29-G29</f>
        <v>332709</v>
      </c>
      <c r="E29" s="243"/>
      <c r="F29" s="255">
        <f>'DOE25'!J358+'DOE25'!J359+'DOE25'!J360</f>
        <v>6043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1060509</v>
      </c>
      <c r="D31" s="20">
        <f>'DOE25'!L290+'DOE25'!L309+'DOE25'!L328+'DOE25'!L333+'DOE25'!L334+'DOE25'!L335-F31-G31</f>
        <v>1035212</v>
      </c>
      <c r="E31" s="243"/>
      <c r="F31" s="255">
        <f>'DOE25'!J290+'DOE25'!J309+'DOE25'!J328+'DOE25'!J333+'DOE25'!J334+'DOE25'!J335</f>
        <v>22141</v>
      </c>
      <c r="G31" s="53">
        <f>'DOE25'!K290+'DOE25'!K309+'DOE25'!K328+'DOE25'!K333+'DOE25'!K334+'DOE25'!K335</f>
        <v>3156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19699880</v>
      </c>
      <c r="E33" s="246">
        <f>SUM(E5:E31)</f>
        <v>762996</v>
      </c>
      <c r="F33" s="246">
        <f>SUM(F5:F31)</f>
        <v>162359</v>
      </c>
      <c r="G33" s="246">
        <f>SUM(G5:G31)</f>
        <v>57183</v>
      </c>
      <c r="H33" s="246">
        <f>SUM(H5:H31)</f>
        <v>941495</v>
      </c>
    </row>
    <row r="35" spans="2:8" ht="12" thickBot="1" x14ac:dyDescent="0.25">
      <c r="B35" s="253" t="s">
        <v>846</v>
      </c>
      <c r="D35" s="254">
        <f>E33</f>
        <v>762996</v>
      </c>
      <c r="E35" s="249"/>
    </row>
    <row r="36" spans="2:8" ht="12" thickTop="1" x14ac:dyDescent="0.2">
      <c r="B36" t="s">
        <v>814</v>
      </c>
      <c r="D36" s="20">
        <f>D33</f>
        <v>19699880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20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Hillsboro-Deering Coop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2366726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734239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61682</v>
      </c>
      <c r="E11" s="95">
        <f>'DOE25'!H12</f>
        <v>297833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20024</v>
      </c>
      <c r="E12" s="95">
        <f>'DOE25'!H13</f>
        <v>263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66762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7128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1001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2433488</v>
      </c>
      <c r="D18" s="41">
        <f>SUM(D8:D17)</f>
        <v>89835</v>
      </c>
      <c r="E18" s="41">
        <f>SUM(E8:E17)</f>
        <v>298096</v>
      </c>
      <c r="F18" s="41">
        <f>SUM(F8:F17)</f>
        <v>0</v>
      </c>
      <c r="G18" s="41">
        <f>SUM(G8:G17)</f>
        <v>734239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193132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4160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436702</v>
      </c>
      <c r="D23" s="95">
        <f>'DOE25'!G24</f>
        <v>12544</v>
      </c>
      <c r="E23" s="95">
        <f>'DOE25'!H24</f>
        <v>39493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47181</v>
      </c>
      <c r="D29" s="95">
        <f>'DOE25'!G30</f>
        <v>0</v>
      </c>
      <c r="E29" s="95">
        <f>'DOE25'!H30</f>
        <v>13397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681175</v>
      </c>
      <c r="D31" s="41">
        <f>SUM(D21:D30)</f>
        <v>12544</v>
      </c>
      <c r="E31" s="41">
        <f>SUM(E21:E30)</f>
        <v>52890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7128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1001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51531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150000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238665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212615</v>
      </c>
      <c r="F47" s="95">
        <f>'DOE25'!I48</f>
        <v>0</v>
      </c>
      <c r="G47" s="95">
        <f>'DOE25'!J48</f>
        <v>734239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363648</v>
      </c>
      <c r="D48" s="95">
        <f>'DOE25'!G49</f>
        <v>17631</v>
      </c>
      <c r="E48" s="95">
        <f>'DOE25'!H49</f>
        <v>32591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1000000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1752313</v>
      </c>
      <c r="D50" s="41">
        <f>SUM(D34:D49)</f>
        <v>77291</v>
      </c>
      <c r="E50" s="41">
        <f>SUM(E34:E49)</f>
        <v>245206</v>
      </c>
      <c r="F50" s="41">
        <f>SUM(F34:F49)</f>
        <v>0</v>
      </c>
      <c r="G50" s="41">
        <f>SUM(G34:G49)</f>
        <v>734239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2433488</v>
      </c>
      <c r="D51" s="41">
        <f>D50+D31</f>
        <v>89835</v>
      </c>
      <c r="E51" s="41">
        <f>E50+E31</f>
        <v>298096</v>
      </c>
      <c r="F51" s="41">
        <f>F50+F31</f>
        <v>0</v>
      </c>
      <c r="G51" s="41">
        <f>G50+G31</f>
        <v>734239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11049046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1440047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8422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994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255565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62180</v>
      </c>
      <c r="D61" s="95">
        <f>SUM('DOE25'!G98:G110)</f>
        <v>0</v>
      </c>
      <c r="E61" s="95">
        <f>SUM('DOE25'!H98:H110)</f>
        <v>138237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1511643</v>
      </c>
      <c r="D62" s="130">
        <f>SUM(D57:D61)</f>
        <v>255565</v>
      </c>
      <c r="E62" s="130">
        <f>SUM(E57:E61)</f>
        <v>138237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12560689</v>
      </c>
      <c r="D63" s="22">
        <f>D56+D62</f>
        <v>255565</v>
      </c>
      <c r="E63" s="22">
        <f>E56+E62</f>
        <v>138237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6108231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1446786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1916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7556933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342731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378653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16178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6460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737562</v>
      </c>
      <c r="D78" s="130">
        <f>SUM(D72:D77)</f>
        <v>6460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8294495</v>
      </c>
      <c r="D81" s="130">
        <f>SUM(D79:D80)+D78+D70</f>
        <v>6460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240158</v>
      </c>
      <c r="D88" s="95">
        <f>SUM('DOE25'!G153:G161)</f>
        <v>327760</v>
      </c>
      <c r="E88" s="95">
        <f>SUM('DOE25'!H153:H161)</f>
        <v>865656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240158</v>
      </c>
      <c r="D91" s="131">
        <f>SUM(D85:D90)</f>
        <v>327760</v>
      </c>
      <c r="E91" s="131">
        <f>SUM(E85:E90)</f>
        <v>865656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15000</v>
      </c>
      <c r="E96" s="95">
        <f>'DOE25'!H179</f>
        <v>0</v>
      </c>
      <c r="F96" s="95">
        <f>'DOE25'!I179</f>
        <v>0</v>
      </c>
      <c r="G96" s="95">
        <f>'DOE25'!J179</f>
        <v>200000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175287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175287</v>
      </c>
      <c r="D103" s="86">
        <f>SUM(D93:D102)</f>
        <v>15000</v>
      </c>
      <c r="E103" s="86">
        <f>SUM(E93:E102)</f>
        <v>0</v>
      </c>
      <c r="F103" s="86">
        <f>SUM(F93:F102)</f>
        <v>0</v>
      </c>
      <c r="G103" s="86">
        <f>SUM(G93:G102)</f>
        <v>200000</v>
      </c>
    </row>
    <row r="104" spans="1:7" ht="12.75" thickTop="1" thickBot="1" x14ac:dyDescent="0.25">
      <c r="A104" s="33" t="s">
        <v>764</v>
      </c>
      <c r="C104" s="86">
        <f>C63+C81+C91+C103</f>
        <v>21270629</v>
      </c>
      <c r="D104" s="86">
        <f>D63+D81+D91+D103</f>
        <v>604785</v>
      </c>
      <c r="E104" s="86">
        <f>E63+E81+E91+E103</f>
        <v>1003893</v>
      </c>
      <c r="F104" s="86">
        <f>F63+F81+F91+F103</f>
        <v>0</v>
      </c>
      <c r="G104" s="86">
        <f>G63+G81+G103</f>
        <v>200000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7817552</v>
      </c>
      <c r="D109" s="24" t="s">
        <v>288</v>
      </c>
      <c r="E109" s="95">
        <f>('DOE25'!L276)+('DOE25'!L295)+('DOE25'!L314)</f>
        <v>1060509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4101874</v>
      </c>
      <c r="D110" s="24" t="s">
        <v>288</v>
      </c>
      <c r="E110" s="95">
        <f>('DOE25'!L277)+('DOE25'!L296)+('DOE25'!L315)</f>
        <v>0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29344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252234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12201004</v>
      </c>
      <c r="D115" s="86">
        <f>SUM(D109:D114)</f>
        <v>0</v>
      </c>
      <c r="E115" s="86">
        <f>SUM(E109:E114)</f>
        <v>1060509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1718561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814204</v>
      </c>
      <c r="D119" s="24" t="s">
        <v>288</v>
      </c>
      <c r="E119" s="95">
        <f>+('DOE25'!L282)+('DOE25'!L301)+('DOE25'!L320)</f>
        <v>0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1007785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1069579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7804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1692281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754489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590253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7064703</v>
      </c>
      <c r="D128" s="86">
        <f>SUM(D118:D127)</f>
        <v>590253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735000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206495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175842</v>
      </c>
    </row>
    <row r="135" spans="1:7" x14ac:dyDescent="0.2">
      <c r="A135" t="s">
        <v>233</v>
      </c>
      <c r="B135" s="32" t="s">
        <v>234</v>
      </c>
      <c r="C135" s="95">
        <f>'DOE25'!L263</f>
        <v>15000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200000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0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1156495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175842</v>
      </c>
    </row>
    <row r="145" spans="1:9" ht="12.75" thickTop="1" thickBot="1" x14ac:dyDescent="0.25">
      <c r="A145" s="33" t="s">
        <v>244</v>
      </c>
      <c r="C145" s="86">
        <f>(C115+C128+C144)</f>
        <v>20422202</v>
      </c>
      <c r="D145" s="86">
        <f>(D115+D128+D144)</f>
        <v>590253</v>
      </c>
      <c r="E145" s="86">
        <f>(E115+E128+E144)</f>
        <v>1060509</v>
      </c>
      <c r="F145" s="86">
        <f>(F115+F128+F144)</f>
        <v>0</v>
      </c>
      <c r="G145" s="86">
        <f>(G115+G128+G144)</f>
        <v>175842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07/02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08/22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14750000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4.5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5145000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5145000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735000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735000</v>
      </c>
    </row>
    <row r="159" spans="1:9" x14ac:dyDescent="0.2">
      <c r="A159" s="22" t="s">
        <v>35</v>
      </c>
      <c r="B159" s="137">
        <f>'DOE25'!F498</f>
        <v>4410000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4410000</v>
      </c>
    </row>
    <row r="160" spans="1:9" x14ac:dyDescent="0.2">
      <c r="A160" s="22" t="s">
        <v>36</v>
      </c>
      <c r="B160" s="137">
        <f>'DOE25'!F499</f>
        <v>604535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604535</v>
      </c>
    </row>
    <row r="161" spans="1:7" x14ac:dyDescent="0.2">
      <c r="A161" s="22" t="s">
        <v>37</v>
      </c>
      <c r="B161" s="137">
        <f>'DOE25'!F500</f>
        <v>5014535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5014535</v>
      </c>
    </row>
    <row r="162" spans="1:7" x14ac:dyDescent="0.2">
      <c r="A162" s="22" t="s">
        <v>38</v>
      </c>
      <c r="B162" s="137">
        <f>'DOE25'!F501</f>
        <v>735000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735000</v>
      </c>
    </row>
    <row r="163" spans="1:7" x14ac:dyDescent="0.2">
      <c r="A163" s="22" t="s">
        <v>39</v>
      </c>
      <c r="B163" s="137">
        <f>'DOE25'!F502</f>
        <v>173787.5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173787.5</v>
      </c>
    </row>
    <row r="164" spans="1:7" x14ac:dyDescent="0.2">
      <c r="A164" s="22" t="s">
        <v>246</v>
      </c>
      <c r="B164" s="137">
        <f>'DOE25'!F503</f>
        <v>908787.5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908787.5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4"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Hillsboro-Deering Coop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16360</v>
      </c>
    </row>
    <row r="5" spans="1:4" x14ac:dyDescent="0.2">
      <c r="B5" t="s">
        <v>703</v>
      </c>
      <c r="C5" s="179">
        <f>IF('DOE25'!G665+'DOE25'!G670=0,0,ROUND('DOE25'!G672,0))</f>
        <v>14751</v>
      </c>
    </row>
    <row r="6" spans="1:4" x14ac:dyDescent="0.2">
      <c r="B6" t="s">
        <v>62</v>
      </c>
      <c r="C6" s="179">
        <f>IF('DOE25'!H665+'DOE25'!H670=0,0,ROUND('DOE25'!H672,0))</f>
        <v>19915</v>
      </c>
    </row>
    <row r="7" spans="1:4" x14ac:dyDescent="0.2">
      <c r="B7" t="s">
        <v>704</v>
      </c>
      <c r="C7" s="179">
        <f>IF('DOE25'!I665+'DOE25'!I670=0,0,ROUND('DOE25'!I672,0))</f>
        <v>16964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8878061</v>
      </c>
      <c r="D10" s="182">
        <f>ROUND((C10/$C$28)*100,1)</f>
        <v>42.5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4101874</v>
      </c>
      <c r="D11" s="182">
        <f>ROUND((C11/$C$28)*100,1)</f>
        <v>19.7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29344</v>
      </c>
      <c r="D12" s="182">
        <f>ROUND((C12/$C$28)*100,1)</f>
        <v>0.1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252234</v>
      </c>
      <c r="D13" s="182">
        <f>ROUND((C13/$C$28)*100,1)</f>
        <v>1.2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1718561</v>
      </c>
      <c r="D15" s="182">
        <f t="shared" ref="D15:D27" si="0">ROUND((C15/$C$28)*100,1)</f>
        <v>8.1999999999999993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814204</v>
      </c>
      <c r="D16" s="182">
        <f t="shared" si="0"/>
        <v>3.9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1007785</v>
      </c>
      <c r="D17" s="182">
        <f t="shared" si="0"/>
        <v>4.8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1069579</v>
      </c>
      <c r="D18" s="182">
        <f t="shared" si="0"/>
        <v>5.0999999999999996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7804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1692281</v>
      </c>
      <c r="D20" s="182">
        <f t="shared" si="0"/>
        <v>8.1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754489</v>
      </c>
      <c r="D21" s="182">
        <f t="shared" si="0"/>
        <v>3.6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206495</v>
      </c>
      <c r="D25" s="182">
        <f t="shared" si="0"/>
        <v>1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334688</v>
      </c>
      <c r="D27" s="182">
        <f t="shared" si="0"/>
        <v>1.6</v>
      </c>
    </row>
    <row r="28" spans="1:4" x14ac:dyDescent="0.2">
      <c r="B28" s="187" t="s">
        <v>722</v>
      </c>
      <c r="C28" s="180">
        <f>SUM(C10:C27)</f>
        <v>20867399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20867399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735000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11049046</v>
      </c>
      <c r="D35" s="182">
        <f t="shared" ref="D35:D40" si="1">ROUND((C35/$C$41)*100,1)</f>
        <v>49.3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1649880</v>
      </c>
      <c r="D36" s="182">
        <f t="shared" si="1"/>
        <v>7.4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7555017</v>
      </c>
      <c r="D37" s="182">
        <f t="shared" si="1"/>
        <v>33.700000000000003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745938</v>
      </c>
      <c r="D38" s="182">
        <f t="shared" si="1"/>
        <v>3.3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1433574</v>
      </c>
      <c r="D39" s="182">
        <f t="shared" si="1"/>
        <v>6.4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22433455</v>
      </c>
      <c r="D41" s="184">
        <f>SUM(D35:D40)</f>
        <v>100.10000000000001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Hillsboro-Deering Coop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2017-10-12T16:55:11Z</cp:lastPrinted>
  <dcterms:created xsi:type="dcterms:W3CDTF">1997-12-04T19:04:30Z</dcterms:created>
  <dcterms:modified xsi:type="dcterms:W3CDTF">2017-11-29T17:28:15Z</dcterms:modified>
</cp:coreProperties>
</file>