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1570" windowHeight="75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5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C21" i="10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C58" i="2" s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I169" i="1" s="1"/>
  <c r="I162" i="1"/>
  <c r="L250" i="1"/>
  <c r="L332" i="1"/>
  <c r="L254" i="1"/>
  <c r="C25" i="10"/>
  <c r="L268" i="1"/>
  <c r="L269" i="1"/>
  <c r="L349" i="1"/>
  <c r="L350" i="1"/>
  <c r="E143" i="2" s="1"/>
  <c r="I665" i="1"/>
  <c r="I670" i="1"/>
  <c r="F662" i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E112" i="2"/>
  <c r="C113" i="2"/>
  <c r="E113" i="2"/>
  <c r="E114" i="2"/>
  <c r="D115" i="2"/>
  <c r="F115" i="2"/>
  <c r="G115" i="2"/>
  <c r="E118" i="2"/>
  <c r="E119" i="2"/>
  <c r="E128" i="2" s="1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G461" i="1" s="1"/>
  <c r="H640" i="1" s="1"/>
  <c r="H452" i="1"/>
  <c r="F460" i="1"/>
  <c r="F461" i="1" s="1"/>
  <c r="H639" i="1" s="1"/>
  <c r="G460" i="1"/>
  <c r="H460" i="1"/>
  <c r="H461" i="1"/>
  <c r="H641" i="1" s="1"/>
  <c r="F470" i="1"/>
  <c r="G470" i="1"/>
  <c r="H470" i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J545" i="1" s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0" i="1"/>
  <c r="G641" i="1"/>
  <c r="J641" i="1" s="1"/>
  <c r="G643" i="1"/>
  <c r="J643" i="1" s="1"/>
  <c r="H643" i="1"/>
  <c r="G644" i="1"/>
  <c r="G645" i="1"/>
  <c r="H647" i="1"/>
  <c r="G649" i="1"/>
  <c r="G651" i="1"/>
  <c r="G652" i="1"/>
  <c r="H652" i="1"/>
  <c r="G653" i="1"/>
  <c r="H653" i="1"/>
  <c r="G654" i="1"/>
  <c r="H654" i="1"/>
  <c r="H655" i="1"/>
  <c r="J655" i="1" s="1"/>
  <c r="L256" i="1"/>
  <c r="L351" i="1"/>
  <c r="C70" i="2"/>
  <c r="D62" i="2"/>
  <c r="D18" i="13"/>
  <c r="C18" i="13" s="1"/>
  <c r="D17" i="13"/>
  <c r="C17" i="13" s="1"/>
  <c r="F78" i="2"/>
  <c r="F81" i="2" s="1"/>
  <c r="D50" i="2"/>
  <c r="F18" i="2"/>
  <c r="G156" i="2"/>
  <c r="E103" i="2"/>
  <c r="D19" i="13"/>
  <c r="C19" i="13" s="1"/>
  <c r="E78" i="2"/>
  <c r="E81" i="2" s="1"/>
  <c r="J571" i="1"/>
  <c r="D81" i="2"/>
  <c r="G476" i="1"/>
  <c r="H623" i="1" s="1"/>
  <c r="F571" i="1"/>
  <c r="G22" i="2"/>
  <c r="L401" i="1"/>
  <c r="C139" i="2" s="1"/>
  <c r="F22" i="13"/>
  <c r="H25" i="13"/>
  <c r="C25" i="13" s="1"/>
  <c r="H571" i="1"/>
  <c r="F552" i="1"/>
  <c r="I571" i="1"/>
  <c r="G36" i="2"/>
  <c r="L565" i="1"/>
  <c r="C22" i="13"/>
  <c r="A13" i="12" l="1"/>
  <c r="H552" i="1"/>
  <c r="I545" i="1"/>
  <c r="K545" i="1"/>
  <c r="K551" i="1"/>
  <c r="G545" i="1"/>
  <c r="L529" i="1"/>
  <c r="G552" i="1"/>
  <c r="J552" i="1"/>
  <c r="I552" i="1"/>
  <c r="H545" i="1"/>
  <c r="L539" i="1"/>
  <c r="J476" i="1"/>
  <c r="H626" i="1" s="1"/>
  <c r="L427" i="1"/>
  <c r="H408" i="1"/>
  <c r="H644" i="1" s="1"/>
  <c r="J644" i="1" s="1"/>
  <c r="J639" i="1"/>
  <c r="J640" i="1"/>
  <c r="G650" i="1"/>
  <c r="J651" i="1"/>
  <c r="J649" i="1"/>
  <c r="K598" i="1"/>
  <c r="G647" i="1" s="1"/>
  <c r="J647" i="1" s="1"/>
  <c r="K605" i="1"/>
  <c r="G648" i="1" s="1"/>
  <c r="L614" i="1"/>
  <c r="H476" i="1"/>
  <c r="H624" i="1" s="1"/>
  <c r="F476" i="1"/>
  <c r="H622" i="1" s="1"/>
  <c r="J622" i="1" s="1"/>
  <c r="F661" i="1"/>
  <c r="G661" i="1"/>
  <c r="D127" i="2"/>
  <c r="D128" i="2" s="1"/>
  <c r="D145" i="2" s="1"/>
  <c r="H338" i="1"/>
  <c r="H352" i="1" s="1"/>
  <c r="L290" i="1"/>
  <c r="L328" i="1"/>
  <c r="E110" i="2"/>
  <c r="L309" i="1"/>
  <c r="E109" i="2"/>
  <c r="G338" i="1"/>
  <c r="G352" i="1" s="1"/>
  <c r="F338" i="1"/>
  <c r="F352" i="1" s="1"/>
  <c r="H33" i="13"/>
  <c r="C125" i="2"/>
  <c r="J257" i="1"/>
  <c r="J271" i="1" s="1"/>
  <c r="E16" i="13"/>
  <c r="C16" i="13" s="1"/>
  <c r="C124" i="2"/>
  <c r="D14" i="13"/>
  <c r="C14" i="13" s="1"/>
  <c r="E13" i="13"/>
  <c r="C13" i="13" s="1"/>
  <c r="C122" i="2"/>
  <c r="D12" i="13"/>
  <c r="C12" i="13" s="1"/>
  <c r="C18" i="10"/>
  <c r="E8" i="13"/>
  <c r="C8" i="13" s="1"/>
  <c r="C17" i="10"/>
  <c r="C120" i="2"/>
  <c r="C16" i="10"/>
  <c r="L229" i="1"/>
  <c r="D7" i="13"/>
  <c r="C7" i="13" s="1"/>
  <c r="C13" i="10"/>
  <c r="A40" i="12"/>
  <c r="C111" i="2"/>
  <c r="A31" i="12"/>
  <c r="F257" i="1"/>
  <c r="F271" i="1" s="1"/>
  <c r="C11" i="10"/>
  <c r="C110" i="2"/>
  <c r="K257" i="1"/>
  <c r="K271" i="1" s="1"/>
  <c r="H257" i="1"/>
  <c r="H271" i="1" s="1"/>
  <c r="C10" i="10"/>
  <c r="I257" i="1"/>
  <c r="I271" i="1" s="1"/>
  <c r="D5" i="13"/>
  <c r="C5" i="13" s="1"/>
  <c r="C91" i="2"/>
  <c r="D91" i="2"/>
  <c r="C78" i="2"/>
  <c r="C81" i="2" s="1"/>
  <c r="H112" i="1"/>
  <c r="H193" i="1" s="1"/>
  <c r="G629" i="1" s="1"/>
  <c r="J629" i="1" s="1"/>
  <c r="F112" i="1"/>
  <c r="C35" i="10"/>
  <c r="H52" i="1"/>
  <c r="H619" i="1" s="1"/>
  <c r="J619" i="1" s="1"/>
  <c r="J623" i="1"/>
  <c r="D18" i="2"/>
  <c r="C18" i="2"/>
  <c r="J617" i="1"/>
  <c r="K550" i="1"/>
  <c r="D29" i="13"/>
  <c r="C29" i="13" s="1"/>
  <c r="G624" i="1"/>
  <c r="L534" i="1"/>
  <c r="K500" i="1"/>
  <c r="I460" i="1"/>
  <c r="I452" i="1"/>
  <c r="I446" i="1"/>
  <c r="G642" i="1" s="1"/>
  <c r="C123" i="2"/>
  <c r="C119" i="2"/>
  <c r="C112" i="2"/>
  <c r="F85" i="2"/>
  <c r="L211" i="1"/>
  <c r="C20" i="10"/>
  <c r="L362" i="1"/>
  <c r="C27" i="10" s="1"/>
  <c r="G81" i="2"/>
  <c r="C62" i="2"/>
  <c r="C63" i="2" s="1"/>
  <c r="D56" i="2"/>
  <c r="D63" i="2" s="1"/>
  <c r="G662" i="1"/>
  <c r="I662" i="1" s="1"/>
  <c r="C19" i="10"/>
  <c r="G112" i="1"/>
  <c r="C26" i="10"/>
  <c r="K503" i="1"/>
  <c r="L382" i="1"/>
  <c r="G636" i="1" s="1"/>
  <c r="J636" i="1" s="1"/>
  <c r="K338" i="1"/>
  <c r="K352" i="1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G50" i="2"/>
  <c r="H648" i="1"/>
  <c r="J652" i="1"/>
  <c r="G571" i="1"/>
  <c r="I434" i="1"/>
  <c r="G434" i="1"/>
  <c r="I663" i="1"/>
  <c r="K552" i="1" l="1"/>
  <c r="L545" i="1"/>
  <c r="G51" i="2"/>
  <c r="J648" i="1"/>
  <c r="G635" i="1"/>
  <c r="J635" i="1" s="1"/>
  <c r="I661" i="1"/>
  <c r="J624" i="1"/>
  <c r="H646" i="1"/>
  <c r="J646" i="1" s="1"/>
  <c r="L338" i="1"/>
  <c r="L352" i="1" s="1"/>
  <c r="G633" i="1" s="1"/>
  <c r="J633" i="1" s="1"/>
  <c r="E115" i="2"/>
  <c r="E145" i="2" s="1"/>
  <c r="G660" i="1"/>
  <c r="G664" i="1" s="1"/>
  <c r="G667" i="1" s="1"/>
  <c r="D31" i="13"/>
  <c r="C31" i="13" s="1"/>
  <c r="E33" i="13"/>
  <c r="D35" i="13" s="1"/>
  <c r="C115" i="2"/>
  <c r="F660" i="1"/>
  <c r="G104" i="2"/>
  <c r="C104" i="2"/>
  <c r="C36" i="10"/>
  <c r="I461" i="1"/>
  <c r="H642" i="1" s="1"/>
  <c r="J642" i="1" s="1"/>
  <c r="D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F664" i="1"/>
  <c r="C41" i="10"/>
  <c r="D38" i="10" s="1"/>
  <c r="F672" i="1" l="1"/>
  <c r="C4" i="10" s="1"/>
  <c r="F667" i="1"/>
  <c r="D37" i="10"/>
  <c r="D36" i="10"/>
  <c r="D35" i="10"/>
  <c r="D40" i="10"/>
  <c r="D39" i="10"/>
  <c r="D41" i="10" l="1"/>
  <c r="L238" i="1" l="1"/>
  <c r="C118" i="2" s="1"/>
  <c r="C128" i="2" s="1"/>
  <c r="C145" i="2" s="1"/>
  <c r="G247" i="1"/>
  <c r="G257" i="1" s="1"/>
  <c r="G271" i="1" s="1"/>
  <c r="C15" i="10" l="1"/>
  <c r="C28" i="10" s="1"/>
  <c r="D6" i="13"/>
  <c r="D33" i="13" s="1"/>
  <c r="D36" i="13" s="1"/>
  <c r="C6" i="13"/>
  <c r="L247" i="1"/>
  <c r="H660" i="1" l="1"/>
  <c r="L257" i="1"/>
  <c r="L271" i="1" s="1"/>
  <c r="G632" i="1" s="1"/>
  <c r="D18" i="10"/>
  <c r="D26" i="10"/>
  <c r="C30" i="10"/>
  <c r="D12" i="10"/>
  <c r="D27" i="10"/>
  <c r="D20" i="10"/>
  <c r="D24" i="10"/>
  <c r="D23" i="10"/>
  <c r="D22" i="10"/>
  <c r="D17" i="10"/>
  <c r="D21" i="10"/>
  <c r="D11" i="10"/>
  <c r="D13" i="10"/>
  <c r="D10" i="10"/>
  <c r="D19" i="10"/>
  <c r="D16" i="10"/>
  <c r="D25" i="10"/>
  <c r="D15" i="10"/>
  <c r="I660" i="1" l="1"/>
  <c r="I664" i="1" s="1"/>
  <c r="H664" i="1"/>
  <c r="D28" i="10"/>
  <c r="H656" i="1"/>
  <c r="J632" i="1"/>
  <c r="H672" i="1" l="1"/>
  <c r="C6" i="10" s="1"/>
  <c r="H667" i="1"/>
  <c r="I667" i="1"/>
  <c r="I672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<sst xmlns="http://schemas.openxmlformats.org/spreadsheetml/2006/main" count="3962" uniqueCount="920">
  <si>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</si>
  <si>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</si>
  <si>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</si>
  <si>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</si>
  <si>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</si>
  <si>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</si>
  <si>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</si>
  <si>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</si>
  <si>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</si>
  <si>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</si>
  <si>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</si>
  <si>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</si>
  <si>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</si>
  <si>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</si>
  <si>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</si>
  <si>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</si>
  <si>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</si>
  <si>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</si>
  <si>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</si>
  <si>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</si>
  <si>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</si>
  <si>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</si>
  <si>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</si>
  <si>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</si>
  <si>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</si>
  <si>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</si>
  <si>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</si>
  <si>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</si>
  <si>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</si>
  <si>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</si>
  <si>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</si>
  <si>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</si>
  <si>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</si>
  <si>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</si>
  <si>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</si>
  <si>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</si>
  <si>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</si>
  <si>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</si>
  <si>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</si>
  <si>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</si>
  <si>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</si>
  <si>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</si>
  <si>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</si>
  <si>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</si>
  <si>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</si>
  <si>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</si>
  <si>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</si>
  <si>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</si>
  <si>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</si>
  <si>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</si>
  <si>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</si>
  <si>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</si>
  <si>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</si>
  <si>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</si>
  <si>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</si>
  <si>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</si>
  <si>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</si>
  <si>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</si>
  <si>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</si>
  <si>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</si>
  <si>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</si>
  <si>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</si>
  <si>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</si>
  <si>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</si>
  <si>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</si>
  <si>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</si>
  <si>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</si>
  <si>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</si>
  <si>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</si>
  <si>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</si>
  <si>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</si>
  <si>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</si>
  <si>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</si>
  <si>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</si>
  <si>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</si>
  <si>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</si>
  <si>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</si>
  <si>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</si>
  <si>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</si>
  <si>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</si>
  <si>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</si>
  <si>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</si>
  <si>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</si>
  <si>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</si>
  <si>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</si>
  <si>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</si>
  <si>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</si>
  <si>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</si>
  <si>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</si>
  <si>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</si>
  <si>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</si>
  <si>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</si>
  <si>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</si>
  <si>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</si>
  <si>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</si>
  <si>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</si>
  <si>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</si>
  <si>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</si>
  <si>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</si>
  <si>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</si>
  <si>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</si>
  <si>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</si>
  <si>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</si>
  <si>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</si>
  <si>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</si>
  <si>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</si>
  <si>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</si>
  <si>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</si>
  <si>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</si>
  <si>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</si>
  <si>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</si>
  <si>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</si>
  <si>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</si>
  <si>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</si>
  <si>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</si>
  <si>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</si>
  <si>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</si>
  <si>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</si>
  <si>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</si>
  <si>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</si>
  <si>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</si>
  <si>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</si>
  <si>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</si>
  <si>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</si>
  <si>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</si>
  <si>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</si>
  <si>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</si>
  <si>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</si>
  <si>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</si>
  <si>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</si>
  <si>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</si>
  <si>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</si>
  <si>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</si>
  <si>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</si>
  <si>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</si>
  <si>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</si>
  <si>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</si>
  <si>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</si>
  <si>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</si>
  <si>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</si>
  <si>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</si>
  <si>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</si>
  <si>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</si>
  <si>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</si>
  <si>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</si>
  <si>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</si>
  <si>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</si>
  <si>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</si>
  <si>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</si>
  <si>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</si>
  <si>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</si>
  <si>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</si>
  <si>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</si>
  <si>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</si>
  <si>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</si>
  <si>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</si>
  <si>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</si>
  <si>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</si>
  <si>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</si>
  <si>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</si>
  <si>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</si>
  <si>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</si>
  <si>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</si>
  <si>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</si>
  <si>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</si>
  <si>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</si>
  <si>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</si>
  <si>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</si>
  <si>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</si>
  <si>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</si>
  <si>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</si>
  <si>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</si>
  <si>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</si>
  <si>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</si>
  <si>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</si>
  <si>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</si>
  <si>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</si>
  <si>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</si>
  <si>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</si>
  <si>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</si>
  <si>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</si>
  <si>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</si>
  <si>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</si>
  <si>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</si>
  <si>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</si>
  <si>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</si>
  <si>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</si>
  <si>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</si>
  <si>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</si>
  <si>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</si>
  <si>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</si>
  <si>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</si>
  <si>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</si>
  <si>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</si>
  <si>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</si>
  <si>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</si>
  <si>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</si>
  <si>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</si>
  <si>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</si>
  <si>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</si>
  <si>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</si>
  <si>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</si>
  <si>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</si>
  <si>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</si>
  <si>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</si>
  <si>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</si>
  <si>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</si>
  <si>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</si>
  <si>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</si>
  <si>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</si>
  <si>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</si>
  <si>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</si>
  <si>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</si>
  <si>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</si>
  <si>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</si>
  <si>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</si>
  <si>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</si>
  <si>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</si>
  <si>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</si>
  <si>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</si>
  <si>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</si>
  <si>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</si>
  <si>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</si>
  <si>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</si>
  <si>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</si>
  <si>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</si>
  <si>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</si>
  <si>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</si>
  <si>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</si>
  <si>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</si>
  <si>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</si>
  <si>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</si>
  <si>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</si>
  <si>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</si>
  <si>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</si>
  <si>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</si>
  <si>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</si>
  <si>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</si>
  <si>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</si>
  <si>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</si>
  <si>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</si>
  <si>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</si>
  <si>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</si>
  <si>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</si>
  <si>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</si>
  <si>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</si>
  <si>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</si>
  <si>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</si>
  <si>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</si>
  <si>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</si>
  <si>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</si>
  <si>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</si>
  <si>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</si>
  <si>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</si>
  <si>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</si>
  <si>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</si>
  <si>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</si>
  <si>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</si>
  <si>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</si>
  <si>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</si>
  <si>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</si>
  <si>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</si>
  <si>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</si>
  <si>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</si>
  <si>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</si>
  <si>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</si>
  <si>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</si>
  <si>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</si>
  <si>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</si>
  <si>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</si>
  <si>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</si>
  <si>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</si>
  <si>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</si>
  <si>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</si>
  <si>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</si>
  <si>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</si>
  <si>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</si>
  <si>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</si>
  <si>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</si>
  <si>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</si>
  <si>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</si>
  <si>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</si>
  <si>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</si>
  <si>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</si>
  <si>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</si>
  <si>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</si>
  <si>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</si>
  <si>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</si>
  <si>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</si>
  <si>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</si>
  <si>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</si>
  <si>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</si>
  <si>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</si>
  <si>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</si>
  <si>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</si>
  <si>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</si>
  <si>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</si>
  <si>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</si>
  <si>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</si>
  <si>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</si>
  <si>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</si>
  <si>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</si>
  <si>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</si>
  <si>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</si>
  <si>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</si>
  <si>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</si>
  <si>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</si>
  <si>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</si>
  <si>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</si>
  <si>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</si>
  <si>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</si>
  <si>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</si>
  <si>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</si>
  <si>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</si>
  <si>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</si>
  <si>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</si>
  <si>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</si>
  <si>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</si>
  <si>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</si>
  <si>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</si>
  <si>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</si>
  <si>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</si>
  <si>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</si>
  <si>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</si>
  <si>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</si>
  <si>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</si>
  <si>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</si>
  <si>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</si>
  <si>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</si>
  <si>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</si>
  <si>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</si>
  <si>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</si>
  <si>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</si>
  <si>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</si>
  <si>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</si>
  <si>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</si>
  <si>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</si>
  <si>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</si>
  <si>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</si>
  <si>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</si>
  <si>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</si>
  <si>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</si>
  <si>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</si>
  <si>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</si>
  <si>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</si>
  <si>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</si>
  <si>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</si>
  <si>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</si>
  <si>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</si>
  <si>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</si>
  <si>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</si>
  <si>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</si>
  <si>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</si>
  <si>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</si>
  <si>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</si>
  <si>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</si>
  <si>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</si>
  <si>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</si>
  <si>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</si>
  <si>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</si>
  <si>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</si>
  <si>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</si>
  <si>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</si>
  <si>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</si>
  <si>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</si>
  <si>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</si>
  <si>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</si>
  <si>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</si>
  <si>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</si>
  <si>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</si>
  <si>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</si>
  <si>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</si>
  <si>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</si>
  <si>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</si>
  <si>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</si>
  <si>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</si>
  <si>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</si>
  <si>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</si>
  <si>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</si>
  <si>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</si>
  <si>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</si>
  <si>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</si>
  <si>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</si>
  <si>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</si>
  <si>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</si>
  <si>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</si>
  <si>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</si>
  <si>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</si>
  <si>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</si>
  <si>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</si>
  <si>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</si>
  <si>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</si>
  <si>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</si>
  <si>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</si>
  <si>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</si>
  <si>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</si>
  <si>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</si>
  <si>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</si>
  <si>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</si>
  <si>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</si>
  <si>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</si>
  <si>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</si>
  <si>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</si>
  <si>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</si>
  <si>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</si>
  <si>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</si>
  <si>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</si>
  <si>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</si>
  <si>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</si>
  <si>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</si>
  <si>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</si>
  <si>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</si>
  <si>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</si>
  <si>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</si>
  <si>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</si>
  <si>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</si>
  <si>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</si>
  <si>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</si>
  <si>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</si>
  <si>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</si>
  <si>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</si>
  <si>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</si>
  <si>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</si>
  <si>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</si>
  <si>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</si>
  <si>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</si>
  <si>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</si>
  <si>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</si>
  <si>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</si>
  <si>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</si>
  <si>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</si>
  <si>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</si>
  <si>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</si>
  <si>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</si>
  <si>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</si>
  <si>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</si>
  <si>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</si>
  <si>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</si>
  <si>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</si>
  <si>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</si>
  <si>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</si>
  <si>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</si>
  <si>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</si>
  <si>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</si>
  <si>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</si>
  <si>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</si>
  <si>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</si>
  <si>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</si>
  <si>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</si>
  <si>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</si>
  <si>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</si>
  <si>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</si>
  <si>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</si>
  <si>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</si>
  <si>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</si>
  <si>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</si>
  <si>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</si>
  <si>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</si>
  <si>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</si>
  <si>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</si>
  <si>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</si>
  <si>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</si>
  <si>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</si>
  <si>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</si>
  <si>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</si>
  <si>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</si>
  <si>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</si>
  <si>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</si>
  <si>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</si>
  <si>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</si>
  <si>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</si>
  <si>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</si>
  <si>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</si>
  <si>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</si>
  <si>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</si>
  <si>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</si>
  <si>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</si>
  <si>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</si>
  <si>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</si>
  <si>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</si>
  <si>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</si>
  <si>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</si>
  <si>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</si>
  <si>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</si>
  <si>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</si>
  <si>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</si>
  <si>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</si>
  <si>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</si>
  <si>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</si>
  <si>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</si>
  <si>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</si>
  <si>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</si>
  <si>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</si>
  <si>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</si>
  <si>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</si>
  <si>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</si>
  <si>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</si>
  <si>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</si>
  <si>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</si>
  <si>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</si>
  <si>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</si>
  <si>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</si>
  <si>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</si>
  <si>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</si>
  <si>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</si>
  <si>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</si>
  <si>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</si>
  <si>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</si>
  <si>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</si>
  <si>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</si>
  <si>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</si>
  <si>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</si>
  <si>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</si>
  <si>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</si>
  <si>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</si>
  <si>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</si>
  <si>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</si>
  <si>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</si>
  <si>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</si>
  <si>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</si>
  <si>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</si>
  <si>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</si>
  <si>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</si>
  <si>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</si>
  <si>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</si>
  <si>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</si>
  <si>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</si>
  <si>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</si>
  <si>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</si>
  <si>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</si>
  <si>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</si>
  <si>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</si>
  <si>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</si>
  <si>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</si>
  <si>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</si>
  <si>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</si>
  <si>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</si>
  <si>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</si>
  <si>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</si>
  <si>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</si>
  <si>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</si>
  <si>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</si>
  <si>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</si>
  <si>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</si>
  <si>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</si>
  <si>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</si>
  <si>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</si>
  <si>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</si>
  <si>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</si>
  <si>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</si>
  <si>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</si>
  <si>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</si>
  <si>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</si>
  <si>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</si>
  <si>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</si>
  <si>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</si>
  <si>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</si>
  <si>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</si>
  <si>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</si>
  <si>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</si>
  <si>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</si>
  <si>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</si>
  <si>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</si>
  <si>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</si>
  <si>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</si>
  <si>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</si>
  <si>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</si>
  <si>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</si>
  <si>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</si>
  <si>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</si>
  <si>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</si>
  <si>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</si>
  <si>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</si>
  <si>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</si>
  <si>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</si>
  <si>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</si>
  <si>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</si>
  <si>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</si>
  <si>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</si>
  <si>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</si>
  <si>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</si>
  <si>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</si>
  <si>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</si>
  <si>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</si>
  <si>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</si>
  <si>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</si>
  <si>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</si>
  <si>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</si>
  <si>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</si>
  <si>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</si>
  <si>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</si>
  <si>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</si>
  <si>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</si>
  <si>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</si>
  <si>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</si>
  <si>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</si>
  <si>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</si>
  <si>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</si>
  <si>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</si>
  <si>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</si>
  <si>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</si>
  <si>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</si>
  <si>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</si>
  <si>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</si>
  <si>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</si>
  <si>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</si>
  <si>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</si>
  <si>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</si>
  <si>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</si>
  <si>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</si>
  <si>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</si>
  <si>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</si>
  <si>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</si>
  <si>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</si>
  <si>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</si>
  <si>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</si>
  <si>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</si>
  <si>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</si>
  <si>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</si>
  <si>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</si>
  <si>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</si>
  <si>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</si>
  <si>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</si>
  <si>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</si>
  <si>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</si>
  <si>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</si>
  <si>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</si>
  <si>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</si>
  <si>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</si>
  <si>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</si>
  <si>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</si>
  <si>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</si>
  <si>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</si>
  <si>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</si>
  <si>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</si>
  <si>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</si>
  <si>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</si>
  <si>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</si>
  <si>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</si>
  <si>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</si>
  <si>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</si>
  <si>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</si>
  <si>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</si>
  <si>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</si>
  <si>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</si>
  <si>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</si>
  <si>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</si>
  <si>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</si>
  <si>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</si>
  <si>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</si>
  <si>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</si>
  <si>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</si>
  <si>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</si>
  <si>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</si>
  <si>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</si>
  <si>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</si>
  <si>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</si>
  <si>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</si>
  <si>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</si>
  <si>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</si>
  <si>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</si>
  <si>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</si>
  <si>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</si>
  <si>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</si>
  <si>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</si>
  <si>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</si>
  <si>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</si>
  <si>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</si>
  <si>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</si>
  <si>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</si>
  <si>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</si>
  <si>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</si>
  <si>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</si>
  <si>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</si>
  <si>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</si>
  <si>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</si>
  <si>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</si>
  <si>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</si>
  <si>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</si>
  <si>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</si>
  <si>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</si>
  <si>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</si>
  <si>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</si>
  <si>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</si>
  <si>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</si>
  <si>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</si>
  <si>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</si>
  <si>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</si>
  <si>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</si>
  <si>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</si>
  <si>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</si>
  <si>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</si>
  <si>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</si>
  <si>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</si>
  <si>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</si>
  <si>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</si>
  <si>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</si>
  <si>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</si>
  <si>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</si>
  <si>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</si>
  <si>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</si>
  <si>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</si>
  <si>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</si>
  <si>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</si>
  <si>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</si>
  <si>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</si>
  <si>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</si>
  <si>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</si>
  <si>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</si>
  <si>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</si>
  <si>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</si>
  <si>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</si>
  <si>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</si>
  <si>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</si>
  <si>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</si>
  <si>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</si>
  <si>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</si>
  <si>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</si>
  <si>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</si>
  <si>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</si>
  <si>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</si>
  <si>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</si>
  <si>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</si>
  <si>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</si>
  <si>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</si>
  <si>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</si>
  <si>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</si>
  <si>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</si>
  <si>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</si>
  <si>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</si>
  <si>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</si>
  <si>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</si>
  <si>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</si>
  <si>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</si>
  <si>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</si>
  <si>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</si>
  <si>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</si>
  <si>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</si>
  <si>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</si>
  <si>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</si>
  <si>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</si>
  <si>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</si>
  <si>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</si>
  <si>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</si>
  <si>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</si>
  <si>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</si>
  <si>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</si>
  <si>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</si>
  <si>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</si>
  <si>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</si>
  <si>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</si>
  <si>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</si>
  <si>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</si>
  <si>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</si>
  <si>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</si>
  <si>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</si>
  <si>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</si>
  <si>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</si>
  <si>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</si>
  <si>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</si>
  <si>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</si>
  <si>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</si>
  <si>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</si>
  <si>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</si>
  <si>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</si>
  <si>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</si>
  <si>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</si>
  <si>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</si>
  <si>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</si>
  <si>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</si>
  <si>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</si>
  <si>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</si>
  <si>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</si>
  <si>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</si>
  <si>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</si>
  <si>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</si>
  <si>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</si>
  <si>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</si>
  <si>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</si>
  <si>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</si>
  <si>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</si>
  <si>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</si>
  <si>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</si>
  <si>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</si>
  <si>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</si>
  <si>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</si>
  <si>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</si>
  <si>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</si>
  <si>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</si>
  <si>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</si>
  <si>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</si>
  <si>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</si>
  <si>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</si>
  <si>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</si>
  <si>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</si>
  <si>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</si>
  <si>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</si>
  <si>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</si>
  <si>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</si>
  <si>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</si>
  <si>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</si>
  <si>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</si>
  <si>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</si>
  <si>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</si>
  <si>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</si>
  <si>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</si>
  <si>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</si>
  <si>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</si>
  <si>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</si>
  <si>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</si>
  <si>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</si>
  <si>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</si>
  <si>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</si>
  <si>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</si>
  <si>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</si>
  <si>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</si>
  <si>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</si>
  <si>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</si>
  <si>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</si>
  <si>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</si>
  <si>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</si>
  <si>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</si>
  <si>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</si>
  <si>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</si>
  <si>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</si>
  <si>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</si>
  <si>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</si>
  <si>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</si>
  <si>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</si>
  <si>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</si>
  <si>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</si>
  <si>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</si>
  <si>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</si>
  <si>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</si>
  <si>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</si>
  <si>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</si>
  <si>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</si>
  <si>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</si>
  <si>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</si>
  <si>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</si>
  <si>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</si>
  <si>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</si>
  <si>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</si>
  <si>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</si>
  <si>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</si>
  <si>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</si>
  <si>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</si>
  <si>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</si>
  <si>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</si>
  <si>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</si>
  <si>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</si>
  <si>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</si>
  <si>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</si>
  <si>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</si>
  <si>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</si>
  <si>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</si>
  <si>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</si>
  <si>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</si>
  <si>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</si>
  <si>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</si>
  <si>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</si>
  <si>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</si>
  <si>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</si>
  <si>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</si>
  <si>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</si>
  <si>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</si>
  <si>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</si>
  <si>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</si>
  <si>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</si>
  <si>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</si>
  <si>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</si>
  <si>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</si>
  <si>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</si>
  <si>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</si>
  <si>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</si>
  <si>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</si>
  <si>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</si>
  <si>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</si>
  <si>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</si>
  <si>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</si>
  <si>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</si>
  <si>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</si>
  <si>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</si>
  <si>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</si>
  <si>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</si>
  <si>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</si>
  <si>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</si>
  <si>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</si>
  <si>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</si>
  <si>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</si>
  <si>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</si>
  <si>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</si>
  <si>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</si>
  <si>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</si>
  <si>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</si>
  <si>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</si>
  <si>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</si>
  <si>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</si>
  <si>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</si>
  <si>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</si>
  <si>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</si>
  <si>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</si>
  <si>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</si>
  <si>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</si>
  <si>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</si>
  <si>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</si>
  <si>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</si>
  <si>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</si>
  <si>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</si>
  <si>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</si>
  <si>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</si>
  <si>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</si>
  <si>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Hinsdale School District</t>
  </si>
  <si>
    <t>08/05</t>
  </si>
  <si>
    <t>08/25</t>
  </si>
  <si>
    <t>April2017 Building Aid was a penny short</t>
  </si>
  <si>
    <t>NH Dept of Safety EMPG reimbursement for two police radios</t>
  </si>
  <si>
    <t>Tuitioned student to BUHS</t>
  </si>
  <si>
    <t>Transportation cost for Extended Learning Opportunity programs at various off-campus locations</t>
  </si>
  <si>
    <t>Tuition for Windham Reg Career Ctr. District does not claim for transportation 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</si>
</sst>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255</v>
      </c>
      <c r="C2" s="21">
        <v>255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1048893.29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106978.66</v>
      </c>
      <c r="G12" s="18">
        <v>15115.18</v>
      </c>
      <c r="H12" s="18">
        <v>12114.41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16218.44</v>
      </c>
      <c r="G13" s="18">
        <v>15332.8</v>
      </c>
      <c r="H13" s="18">
        <v>91380.72</v>
      </c>
      <c r="I13" s="18">
        <v>42827.53</v>
      </c>
      <c r="J13" s="67">
        <f>SUM(I442)</f>
        <v>426616.04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7221.26</v>
      </c>
      <c r="G14" s="18">
        <v>4983.58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802.14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1179311.6499999999</v>
      </c>
      <c r="G19" s="41">
        <f>SUM(G9:G18)</f>
        <v>36233.699999999997</v>
      </c>
      <c r="H19" s="41">
        <f>SUM(H9:H18)</f>
        <v>103495.13</v>
      </c>
      <c r="I19" s="41">
        <f>SUM(I9:I18)</f>
        <v>42827.53</v>
      </c>
      <c r="J19" s="41">
        <f>SUM(J9:J18)</f>
        <v>426616.04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91380.72</v>
      </c>
      <c r="I22" s="18">
        <v>42827.53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50980.08</v>
      </c>
      <c r="G23" s="18"/>
      <c r="H23" s="18"/>
      <c r="I23" s="18"/>
      <c r="J23" s="67">
        <f>SUM(I449)</f>
        <v>42827.53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74033.13</v>
      </c>
      <c r="G24" s="18">
        <v>27029.94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657419.47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782432.67999999993</v>
      </c>
      <c r="G32" s="41">
        <f>SUM(G22:G31)</f>
        <v>27029.94</v>
      </c>
      <c r="H32" s="41">
        <f>SUM(H22:H31)</f>
        <v>91380.72</v>
      </c>
      <c r="I32" s="41">
        <f>SUM(I22:I31)</f>
        <v>42827.53</v>
      </c>
      <c r="J32" s="41">
        <f>SUM(J22:J31)</f>
        <v>42827.53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9203.76</v>
      </c>
      <c r="H48" s="18">
        <v>12114.41</v>
      </c>
      <c r="I48" s="18"/>
      <c r="J48" s="13">
        <f>SUM(I459)</f>
        <v>383788.51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18439.72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378439.25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396878.97</v>
      </c>
      <c r="G51" s="41">
        <f>SUM(G35:G50)</f>
        <v>9203.76</v>
      </c>
      <c r="H51" s="41">
        <f>SUM(H35:H50)</f>
        <v>12114.41</v>
      </c>
      <c r="I51" s="41">
        <f>SUM(I35:I50)</f>
        <v>0</v>
      </c>
      <c r="J51" s="41">
        <f>SUM(J35:J50)</f>
        <v>383788.51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1179311.6499999999</v>
      </c>
      <c r="G52" s="41">
        <f>G51+G32</f>
        <v>36233.699999999997</v>
      </c>
      <c r="H52" s="41">
        <f>H51+H32</f>
        <v>103495.13</v>
      </c>
      <c r="I52" s="41">
        <f>I51+I32</f>
        <v>42827.53</v>
      </c>
      <c r="J52" s="41">
        <f>J51+J32</f>
        <v>426616.04000000004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5342455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5342455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8166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11545</v>
      </c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28482.61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>
        <v>22961.25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48193.61</v>
      </c>
      <c r="G79" s="45" t="s">
        <v>288</v>
      </c>
      <c r="H79" s="41">
        <f>SUM(H63:H78)</f>
        <v>22961.25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14578.87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97756.2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6377.6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7132.8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69.599999999999994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71477.070000000007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77924.27</v>
      </c>
      <c r="G111" s="41">
        <f>SUM(G96:G110)</f>
        <v>97756.2</v>
      </c>
      <c r="H111" s="41">
        <f>SUM(H96:H110)</f>
        <v>7132.8</v>
      </c>
      <c r="I111" s="41">
        <f>SUM(I96:I110)</f>
        <v>0</v>
      </c>
      <c r="J111" s="41">
        <f>SUM(J96:J110)</f>
        <v>14578.87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5468572.8799999999</v>
      </c>
      <c r="G112" s="41">
        <f>G60+G111</f>
        <v>97756.2</v>
      </c>
      <c r="H112" s="41">
        <f>H60+H79+H94+H111</f>
        <v>30094.05</v>
      </c>
      <c r="I112" s="41">
        <f>I60+I111</f>
        <v>0</v>
      </c>
      <c r="J112" s="41">
        <f>J60+J111</f>
        <v>14578.87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4131574.66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530976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4662550.66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462802.59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51462.35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15834.47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16342.08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3039.51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533138.92000000004</v>
      </c>
      <c r="G136" s="41">
        <f>SUM(G123:G135)</f>
        <v>16342.08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5195689.58</v>
      </c>
      <c r="G140" s="41">
        <f>G121+SUM(G136:G137)</f>
        <v>16342.08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12494.29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217365.56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218460.2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184281.72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126789.14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142865.19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142865.19</v>
      </c>
      <c r="G162" s="41">
        <f>SUM(G150:G161)</f>
        <v>184281.72</v>
      </c>
      <c r="H162" s="41">
        <f>SUM(H150:H161)</f>
        <v>575109.19000000006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142865.19</v>
      </c>
      <c r="G169" s="41">
        <f>G147+G162+SUM(G163:G168)</f>
        <v>184281.72</v>
      </c>
      <c r="H169" s="41">
        <f>H147+H162+SUM(H163:H168)</f>
        <v>575109.19000000006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24249.07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24249.07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>
        <v>42827.53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42827.53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24249.07</v>
      </c>
      <c r="G192" s="41">
        <f>G183+SUM(G188:G191)</f>
        <v>0</v>
      </c>
      <c r="H192" s="41">
        <f>+H183+SUM(H188:H191)</f>
        <v>0</v>
      </c>
      <c r="I192" s="41">
        <f>I177+I183+SUM(I188:I191)</f>
        <v>42827.53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10831376.720000001</v>
      </c>
      <c r="G193" s="47">
        <f>G112+G140+G169+G192</f>
        <v>298380</v>
      </c>
      <c r="H193" s="47">
        <f>H112+H140+H169+H192</f>
        <v>605203.24000000011</v>
      </c>
      <c r="I193" s="47">
        <f>I112+I140+I169+I192</f>
        <v>42827.53</v>
      </c>
      <c r="J193" s="47">
        <f>J112+J140+J192</f>
        <v>64578.87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993969.16</v>
      </c>
      <c r="G197" s="18">
        <v>479583.24</v>
      </c>
      <c r="H197" s="18">
        <v>2381.5</v>
      </c>
      <c r="I197" s="18">
        <v>54455.17</v>
      </c>
      <c r="J197" s="18"/>
      <c r="K197" s="18"/>
      <c r="L197" s="19">
        <f>SUM(F197:K197)</f>
        <v>1530389.0699999998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494468.5</v>
      </c>
      <c r="G198" s="18">
        <v>139094.26999999999</v>
      </c>
      <c r="H198" s="18">
        <v>111033.23</v>
      </c>
      <c r="I198" s="18">
        <v>2887.85</v>
      </c>
      <c r="J198" s="18"/>
      <c r="K198" s="18"/>
      <c r="L198" s="19">
        <f>SUM(F198:K198)</f>
        <v>747483.85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26157.34</v>
      </c>
      <c r="G200" s="18">
        <v>4125.93</v>
      </c>
      <c r="H200" s="18"/>
      <c r="I200" s="18"/>
      <c r="J200" s="18"/>
      <c r="K200" s="18"/>
      <c r="L200" s="19">
        <f>SUM(F200:K200)</f>
        <v>30283.27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251737.03</v>
      </c>
      <c r="G202" s="18">
        <v>128468.39</v>
      </c>
      <c r="H202" s="18">
        <v>49043.75</v>
      </c>
      <c r="I202" s="18">
        <v>12866.6</v>
      </c>
      <c r="J202" s="18"/>
      <c r="K202" s="18">
        <v>239.7</v>
      </c>
      <c r="L202" s="19">
        <f t="shared" ref="L202:L208" si="0">SUM(F202:K202)</f>
        <v>442355.47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36277.620000000003</v>
      </c>
      <c r="G203" s="18">
        <v>3568.27</v>
      </c>
      <c r="H203" s="18">
        <v>16625.75</v>
      </c>
      <c r="I203" s="18">
        <v>4114.46</v>
      </c>
      <c r="J203" s="18"/>
      <c r="K203" s="18">
        <v>383.86</v>
      </c>
      <c r="L203" s="19">
        <f t="shared" si="0"/>
        <v>60969.96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155694.07999999999</v>
      </c>
      <c r="G204" s="18">
        <v>117769.98</v>
      </c>
      <c r="H204" s="18">
        <v>57806.02</v>
      </c>
      <c r="I204" s="18">
        <v>3541.9</v>
      </c>
      <c r="J204" s="18"/>
      <c r="K204" s="18">
        <v>5820.47</v>
      </c>
      <c r="L204" s="19">
        <f t="shared" si="0"/>
        <v>340632.45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150755.18</v>
      </c>
      <c r="G205" s="18">
        <v>73483.429999999993</v>
      </c>
      <c r="H205" s="18">
        <v>1442.32</v>
      </c>
      <c r="I205" s="18">
        <v>2769.59</v>
      </c>
      <c r="J205" s="18"/>
      <c r="K205" s="18">
        <v>855</v>
      </c>
      <c r="L205" s="19">
        <f t="shared" si="0"/>
        <v>229305.52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71463.520000000004</v>
      </c>
      <c r="G206" s="18">
        <v>33457.089999999997</v>
      </c>
      <c r="H206" s="18"/>
      <c r="I206" s="18">
        <v>13578.41</v>
      </c>
      <c r="J206" s="18"/>
      <c r="K206" s="18">
        <v>76.5</v>
      </c>
      <c r="L206" s="19">
        <f t="shared" si="0"/>
        <v>118575.52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157685.06</v>
      </c>
      <c r="G207" s="18">
        <v>95568.63</v>
      </c>
      <c r="H207" s="18">
        <v>104311.41</v>
      </c>
      <c r="I207" s="18">
        <v>154237.19</v>
      </c>
      <c r="J207" s="18">
        <v>3749.18</v>
      </c>
      <c r="K207" s="18"/>
      <c r="L207" s="19">
        <f t="shared" si="0"/>
        <v>515551.47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108619.75</v>
      </c>
      <c r="I208" s="18"/>
      <c r="J208" s="18"/>
      <c r="K208" s="18"/>
      <c r="L208" s="19">
        <f t="shared" si="0"/>
        <v>108619.75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76220.17</v>
      </c>
      <c r="G209" s="18">
        <v>34560.93</v>
      </c>
      <c r="H209" s="18">
        <v>30770.79</v>
      </c>
      <c r="I209" s="18">
        <v>21020.17</v>
      </c>
      <c r="J209" s="18">
        <v>23035.22</v>
      </c>
      <c r="K209" s="18"/>
      <c r="L209" s="19">
        <f>SUM(F209:K209)</f>
        <v>185607.28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2414427.6600000006</v>
      </c>
      <c r="G211" s="41">
        <f t="shared" si="1"/>
        <v>1109680.1599999999</v>
      </c>
      <c r="H211" s="41">
        <f t="shared" si="1"/>
        <v>482034.51999999996</v>
      </c>
      <c r="I211" s="41">
        <f t="shared" si="1"/>
        <v>269471.33999999997</v>
      </c>
      <c r="J211" s="41">
        <f t="shared" si="1"/>
        <v>26784.400000000001</v>
      </c>
      <c r="K211" s="41">
        <f t="shared" si="1"/>
        <v>7375.5300000000007</v>
      </c>
      <c r="L211" s="41">
        <f t="shared" si="1"/>
        <v>4309773.6100000003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564721.11</v>
      </c>
      <c r="G215" s="18">
        <v>268094.36</v>
      </c>
      <c r="H215" s="18">
        <v>7089.47</v>
      </c>
      <c r="I215" s="18">
        <v>29952.09</v>
      </c>
      <c r="J215" s="18"/>
      <c r="K215" s="18"/>
      <c r="L215" s="19">
        <f>SUM(F215:K215)</f>
        <v>869857.02999999991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163667.91</v>
      </c>
      <c r="G216" s="18">
        <v>34440.11</v>
      </c>
      <c r="H216" s="18">
        <v>65610.55</v>
      </c>
      <c r="I216" s="18">
        <v>160.68</v>
      </c>
      <c r="J216" s="18"/>
      <c r="K216" s="18"/>
      <c r="L216" s="19">
        <f>SUM(F216:K216)</f>
        <v>263879.25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23110.52</v>
      </c>
      <c r="G218" s="18">
        <v>3282.8</v>
      </c>
      <c r="H218" s="18">
        <v>4337.22</v>
      </c>
      <c r="I218" s="18">
        <v>2731.93</v>
      </c>
      <c r="J218" s="18">
        <v>227.13</v>
      </c>
      <c r="K218" s="18"/>
      <c r="L218" s="19">
        <f>SUM(F218:K218)</f>
        <v>33689.599999999999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140344.99</v>
      </c>
      <c r="G220" s="18">
        <v>73504.460000000006</v>
      </c>
      <c r="H220" s="18">
        <v>22742.95</v>
      </c>
      <c r="I220" s="18">
        <v>3572.36</v>
      </c>
      <c r="J220" s="18"/>
      <c r="K220" s="18">
        <v>164.22</v>
      </c>
      <c r="L220" s="19">
        <f t="shared" ref="L220:L226" si="2">SUM(F220:K220)</f>
        <v>240328.98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25480.66</v>
      </c>
      <c r="G221" s="18">
        <v>6657.06</v>
      </c>
      <c r="H221" s="18">
        <v>8259.67</v>
      </c>
      <c r="I221" s="18">
        <v>8118.91</v>
      </c>
      <c r="J221" s="18"/>
      <c r="K221" s="18">
        <v>158.06</v>
      </c>
      <c r="L221" s="19">
        <f t="shared" si="2"/>
        <v>48674.36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64109.33</v>
      </c>
      <c r="G222" s="18">
        <v>47640.04</v>
      </c>
      <c r="H222" s="18">
        <v>23802.48</v>
      </c>
      <c r="I222" s="18">
        <v>1458.43</v>
      </c>
      <c r="J222" s="18"/>
      <c r="K222" s="18">
        <v>2396.66</v>
      </c>
      <c r="L222" s="19">
        <f t="shared" si="2"/>
        <v>139406.94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97928.21</v>
      </c>
      <c r="G223" s="18">
        <v>30212.83</v>
      </c>
      <c r="H223" s="18">
        <v>3791.39</v>
      </c>
      <c r="I223" s="18">
        <v>735.54</v>
      </c>
      <c r="J223" s="18"/>
      <c r="K223" s="18">
        <v>1472.1</v>
      </c>
      <c r="L223" s="19">
        <f t="shared" si="2"/>
        <v>134140.07000000004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29426.16</v>
      </c>
      <c r="G224" s="18">
        <v>13533.98</v>
      </c>
      <c r="H224" s="18"/>
      <c r="I224" s="18">
        <v>5591.11</v>
      </c>
      <c r="J224" s="18"/>
      <c r="K224" s="18">
        <v>31.5</v>
      </c>
      <c r="L224" s="19">
        <f t="shared" si="2"/>
        <v>48582.75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63786.400000000001</v>
      </c>
      <c r="G225" s="18">
        <v>38659.199999999997</v>
      </c>
      <c r="H225" s="18">
        <v>42195.81</v>
      </c>
      <c r="I225" s="18">
        <v>62391.67</v>
      </c>
      <c r="J225" s="18">
        <v>1516.61</v>
      </c>
      <c r="K225" s="18"/>
      <c r="L225" s="19">
        <f t="shared" si="2"/>
        <v>208549.69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60934.79</v>
      </c>
      <c r="I226" s="18"/>
      <c r="J226" s="18"/>
      <c r="K226" s="18"/>
      <c r="L226" s="19">
        <f t="shared" si="2"/>
        <v>60934.79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30832.41</v>
      </c>
      <c r="G227" s="18">
        <v>13980.51</v>
      </c>
      <c r="H227" s="18">
        <v>12447.33</v>
      </c>
      <c r="I227" s="18">
        <v>8503.0300000000007</v>
      </c>
      <c r="J227" s="18">
        <v>9318.15</v>
      </c>
      <c r="K227" s="18"/>
      <c r="L227" s="19">
        <f>SUM(F227:K227)</f>
        <v>75081.429999999993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1203407.6999999997</v>
      </c>
      <c r="G229" s="41">
        <f>SUM(G215:G228)</f>
        <v>530005.35</v>
      </c>
      <c r="H229" s="41">
        <f>SUM(H215:H228)</f>
        <v>251211.66</v>
      </c>
      <c r="I229" s="41">
        <f>SUM(I215:I228)</f>
        <v>123215.75</v>
      </c>
      <c r="J229" s="41">
        <f>SUM(J215:J228)</f>
        <v>11061.89</v>
      </c>
      <c r="K229" s="41">
        <f t="shared" si="3"/>
        <v>4222.5399999999991</v>
      </c>
      <c r="L229" s="41">
        <f t="shared" si="3"/>
        <v>2123124.89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843502.48</v>
      </c>
      <c r="G233" s="18">
        <v>395574.24</v>
      </c>
      <c r="H233" s="18">
        <v>30882.68</v>
      </c>
      <c r="I233" s="18">
        <v>57069.02</v>
      </c>
      <c r="J233" s="18"/>
      <c r="K233" s="18">
        <v>1900</v>
      </c>
      <c r="L233" s="19">
        <f>SUM(F233:K233)</f>
        <v>1328928.42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236992.6</v>
      </c>
      <c r="G234" s="18">
        <v>48399.76</v>
      </c>
      <c r="H234" s="18">
        <v>328052.74</v>
      </c>
      <c r="I234" s="18">
        <v>784.51</v>
      </c>
      <c r="J234" s="18"/>
      <c r="K234" s="18"/>
      <c r="L234" s="19">
        <f>SUM(F234:K234)</f>
        <v>614229.61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14685</v>
      </c>
      <c r="G235" s="18">
        <v>1123.44</v>
      </c>
      <c r="H235" s="18">
        <v>35824.160000000003</v>
      </c>
      <c r="I235" s="18"/>
      <c r="J235" s="18"/>
      <c r="K235" s="18"/>
      <c r="L235" s="19">
        <f>SUM(F235:K235)</f>
        <v>51632.600000000006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83510.460000000006</v>
      </c>
      <c r="G236" s="18">
        <v>10749.35</v>
      </c>
      <c r="H236" s="18">
        <v>21175.85</v>
      </c>
      <c r="I236" s="18">
        <v>24587.42</v>
      </c>
      <c r="J236" s="18">
        <v>2044.16</v>
      </c>
      <c r="K236" s="18">
        <v>2336.87</v>
      </c>
      <c r="L236" s="19">
        <f>SUM(F236:K236)</f>
        <v>144404.11000000002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191844.92</v>
      </c>
      <c r="G238" s="18">
        <v>100421.18</v>
      </c>
      <c r="H238" s="18">
        <v>30445.3</v>
      </c>
      <c r="I238" s="18">
        <v>4919.59</v>
      </c>
      <c r="J238" s="18"/>
      <c r="K238" s="18">
        <v>222.08</v>
      </c>
      <c r="L238" s="19">
        <f t="shared" ref="L238:L244" si="4">SUM(F238:K238)</f>
        <v>327853.07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34709.21</v>
      </c>
      <c r="G239" s="18">
        <v>9140.9500000000007</v>
      </c>
      <c r="H239" s="18">
        <v>11080.22</v>
      </c>
      <c r="I239" s="18">
        <v>11162.96</v>
      </c>
      <c r="J239" s="18"/>
      <c r="K239" s="18">
        <v>210.74</v>
      </c>
      <c r="L239" s="19">
        <f t="shared" si="4"/>
        <v>66304.08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85479.1</v>
      </c>
      <c r="G240" s="18">
        <v>64788.05</v>
      </c>
      <c r="H240" s="18">
        <v>31736.639999999999</v>
      </c>
      <c r="I240" s="18">
        <v>1944.57</v>
      </c>
      <c r="J240" s="18"/>
      <c r="K240" s="18">
        <v>3195.55</v>
      </c>
      <c r="L240" s="19">
        <f t="shared" si="4"/>
        <v>187143.91000000003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135234.20000000001</v>
      </c>
      <c r="G241" s="18">
        <v>41722.49</v>
      </c>
      <c r="H241" s="18">
        <v>5235.74</v>
      </c>
      <c r="I241" s="18">
        <v>1015.74</v>
      </c>
      <c r="J241" s="18"/>
      <c r="K241" s="18">
        <v>2032.9</v>
      </c>
      <c r="L241" s="19">
        <f t="shared" si="4"/>
        <v>185241.06999999998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39234.879999999997</v>
      </c>
      <c r="G242" s="18">
        <v>18405.54</v>
      </c>
      <c r="H242" s="18"/>
      <c r="I242" s="18">
        <v>7454.81</v>
      </c>
      <c r="J242" s="18"/>
      <c r="K242" s="18">
        <v>42</v>
      </c>
      <c r="L242" s="19">
        <f t="shared" si="4"/>
        <v>65137.229999999996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86746.29</v>
      </c>
      <c r="G243" s="18">
        <v>52574.559999999998</v>
      </c>
      <c r="H243" s="18">
        <v>57384.18</v>
      </c>
      <c r="I243" s="18">
        <v>84849.54</v>
      </c>
      <c r="J243" s="18">
        <v>2062.5100000000002</v>
      </c>
      <c r="K243" s="18"/>
      <c r="L243" s="19">
        <f t="shared" si="4"/>
        <v>283617.07999999996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20792.580000000002</v>
      </c>
      <c r="G244" s="18">
        <v>1590.62</v>
      </c>
      <c r="H244" s="18">
        <v>149226.47</v>
      </c>
      <c r="I244" s="18"/>
      <c r="J244" s="18"/>
      <c r="K244" s="18"/>
      <c r="L244" s="19">
        <f t="shared" si="4"/>
        <v>171609.67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41930.519999999997</v>
      </c>
      <c r="G245" s="18">
        <v>19012.79</v>
      </c>
      <c r="H245" s="18">
        <v>16927.740000000002</v>
      </c>
      <c r="I245" s="18">
        <v>11563.69</v>
      </c>
      <c r="J245" s="18">
        <v>12672.22</v>
      </c>
      <c r="K245" s="18"/>
      <c r="L245" s="19">
        <f>SUM(F245:K245)</f>
        <v>102106.96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1814662.24</v>
      </c>
      <c r="G247" s="41">
        <f t="shared" si="5"/>
        <v>763502.97000000009</v>
      </c>
      <c r="H247" s="41">
        <f t="shared" si="5"/>
        <v>717971.71999999986</v>
      </c>
      <c r="I247" s="41">
        <f t="shared" si="5"/>
        <v>205351.85</v>
      </c>
      <c r="J247" s="41">
        <f t="shared" si="5"/>
        <v>16778.89</v>
      </c>
      <c r="K247" s="41">
        <f t="shared" si="5"/>
        <v>9940.14</v>
      </c>
      <c r="L247" s="41">
        <f t="shared" si="5"/>
        <v>3528207.8099999996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5432497.6000000006</v>
      </c>
      <c r="G257" s="41">
        <f t="shared" si="8"/>
        <v>2403188.48</v>
      </c>
      <c r="H257" s="41">
        <f t="shared" si="8"/>
        <v>1451217.9</v>
      </c>
      <c r="I257" s="41">
        <f t="shared" si="8"/>
        <v>598038.93999999994</v>
      </c>
      <c r="J257" s="41">
        <f t="shared" si="8"/>
        <v>54625.18</v>
      </c>
      <c r="K257" s="41">
        <f t="shared" si="8"/>
        <v>21538.21</v>
      </c>
      <c r="L257" s="41">
        <f t="shared" si="8"/>
        <v>9961106.3099999987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650000</v>
      </c>
      <c r="L260" s="19">
        <f>SUM(F260:K260)</f>
        <v>650000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257973.5</v>
      </c>
      <c r="L261" s="19">
        <f>SUM(F261:K261)</f>
        <v>257973.5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957973.5</v>
      </c>
      <c r="L270" s="41">
        <f t="shared" si="9"/>
        <v>957973.5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5432497.6000000006</v>
      </c>
      <c r="G271" s="42">
        <f t="shared" si="11"/>
        <v>2403188.48</v>
      </c>
      <c r="H271" s="42">
        <f t="shared" si="11"/>
        <v>1451217.9</v>
      </c>
      <c r="I271" s="42">
        <f t="shared" si="11"/>
        <v>598038.93999999994</v>
      </c>
      <c r="J271" s="42">
        <f t="shared" si="11"/>
        <v>54625.18</v>
      </c>
      <c r="K271" s="42">
        <f t="shared" si="11"/>
        <v>979511.71</v>
      </c>
      <c r="L271" s="42">
        <f t="shared" si="11"/>
        <v>10919079.809999999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159912.01</v>
      </c>
      <c r="G276" s="18">
        <v>20615.21</v>
      </c>
      <c r="H276" s="18">
        <v>735</v>
      </c>
      <c r="I276" s="18">
        <v>6835.45</v>
      </c>
      <c r="J276" s="18">
        <v>2871.1</v>
      </c>
      <c r="K276" s="18">
        <v>145</v>
      </c>
      <c r="L276" s="19">
        <f>SUM(F276:K276)</f>
        <v>191113.77000000002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72216.17</v>
      </c>
      <c r="G282" s="18">
        <v>18933.05</v>
      </c>
      <c r="H282" s="18">
        <v>24551.4</v>
      </c>
      <c r="I282" s="18">
        <v>5407.01</v>
      </c>
      <c r="J282" s="18"/>
      <c r="K282" s="18">
        <v>1502.47</v>
      </c>
      <c r="L282" s="19">
        <f t="shared" si="12"/>
        <v>122610.09999999999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232128.18</v>
      </c>
      <c r="G290" s="42">
        <f t="shared" si="13"/>
        <v>39548.259999999995</v>
      </c>
      <c r="H290" s="42">
        <f t="shared" si="13"/>
        <v>25286.400000000001</v>
      </c>
      <c r="I290" s="42">
        <f t="shared" si="13"/>
        <v>12242.46</v>
      </c>
      <c r="J290" s="42">
        <f t="shared" si="13"/>
        <v>2871.1</v>
      </c>
      <c r="K290" s="42">
        <f t="shared" si="13"/>
        <v>1647.47</v>
      </c>
      <c r="L290" s="41">
        <f t="shared" si="13"/>
        <v>313723.87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53304</v>
      </c>
      <c r="G295" s="18">
        <v>6871.74</v>
      </c>
      <c r="H295" s="18">
        <v>245</v>
      </c>
      <c r="I295" s="18">
        <v>798.17</v>
      </c>
      <c r="J295" s="18">
        <v>957.04</v>
      </c>
      <c r="K295" s="18"/>
      <c r="L295" s="19">
        <f>SUM(F295:K295)</f>
        <v>62175.95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36959.050000000003</v>
      </c>
      <c r="G296" s="18">
        <v>15147.82</v>
      </c>
      <c r="H296" s="18"/>
      <c r="I296" s="18">
        <v>1144.57</v>
      </c>
      <c r="J296" s="18"/>
      <c r="K296" s="18"/>
      <c r="L296" s="19">
        <f>SUM(F296:K296)</f>
        <v>53251.44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25749.06</v>
      </c>
      <c r="G301" s="18">
        <v>6646.6</v>
      </c>
      <c r="H301" s="18">
        <v>9348.2000000000007</v>
      </c>
      <c r="I301" s="18">
        <v>2226.41</v>
      </c>
      <c r="J301" s="18"/>
      <c r="K301" s="18">
        <v>500.82</v>
      </c>
      <c r="L301" s="19">
        <f t="shared" si="14"/>
        <v>44471.090000000004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116012.11</v>
      </c>
      <c r="G309" s="42">
        <f t="shared" si="15"/>
        <v>28666.159999999996</v>
      </c>
      <c r="H309" s="42">
        <f t="shared" si="15"/>
        <v>9593.2000000000007</v>
      </c>
      <c r="I309" s="42">
        <f t="shared" si="15"/>
        <v>4169.1499999999996</v>
      </c>
      <c r="J309" s="42">
        <f t="shared" si="15"/>
        <v>957.04</v>
      </c>
      <c r="K309" s="42">
        <f t="shared" si="15"/>
        <v>500.82</v>
      </c>
      <c r="L309" s="41">
        <f t="shared" si="15"/>
        <v>159898.48000000001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51038.68</v>
      </c>
      <c r="G315" s="18">
        <v>20918.419999999998</v>
      </c>
      <c r="H315" s="18"/>
      <c r="I315" s="18">
        <v>1580.6</v>
      </c>
      <c r="J315" s="18"/>
      <c r="K315" s="18"/>
      <c r="L315" s="19">
        <f>SUM(F315:K315)</f>
        <v>73537.700000000012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11738.99</v>
      </c>
      <c r="G320" s="18">
        <v>2349.12</v>
      </c>
      <c r="H320" s="18">
        <v>8150.77</v>
      </c>
      <c r="I320" s="18">
        <v>2968.55</v>
      </c>
      <c r="J320" s="18"/>
      <c r="K320" s="18">
        <v>4500</v>
      </c>
      <c r="L320" s="19">
        <f t="shared" si="16"/>
        <v>29707.43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62777.67</v>
      </c>
      <c r="G328" s="42">
        <f t="shared" si="17"/>
        <v>23267.539999999997</v>
      </c>
      <c r="H328" s="42">
        <f t="shared" si="17"/>
        <v>8150.77</v>
      </c>
      <c r="I328" s="42">
        <f t="shared" si="17"/>
        <v>4549.1499999999996</v>
      </c>
      <c r="J328" s="42">
        <f t="shared" si="17"/>
        <v>0</v>
      </c>
      <c r="K328" s="42">
        <f t="shared" si="17"/>
        <v>4500</v>
      </c>
      <c r="L328" s="41">
        <f t="shared" si="17"/>
        <v>103245.13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410917.95999999996</v>
      </c>
      <c r="G338" s="41">
        <f t="shared" si="20"/>
        <v>91481.959999999977</v>
      </c>
      <c r="H338" s="41">
        <f t="shared" si="20"/>
        <v>43030.37000000001</v>
      </c>
      <c r="I338" s="41">
        <f t="shared" si="20"/>
        <v>20960.760000000002</v>
      </c>
      <c r="J338" s="41">
        <f t="shared" si="20"/>
        <v>3828.14</v>
      </c>
      <c r="K338" s="41">
        <f t="shared" si="20"/>
        <v>6648.29</v>
      </c>
      <c r="L338" s="41">
        <f t="shared" si="20"/>
        <v>576867.48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24249.07</v>
      </c>
      <c r="L344" s="19">
        <f t="shared" ref="L344:L350" si="21">SUM(F344:K344)</f>
        <v>24249.07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24249.07</v>
      </c>
      <c r="L351" s="41">
        <f>SUM(L341:L350)</f>
        <v>24249.07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410917.95999999996</v>
      </c>
      <c r="G352" s="41">
        <f>G338</f>
        <v>91481.959999999977</v>
      </c>
      <c r="H352" s="41">
        <f>H338</f>
        <v>43030.37000000001</v>
      </c>
      <c r="I352" s="41">
        <f>I338</f>
        <v>20960.760000000002</v>
      </c>
      <c r="J352" s="41">
        <f>J338</f>
        <v>3828.14</v>
      </c>
      <c r="K352" s="47">
        <f>K338+K351</f>
        <v>30897.360000000001</v>
      </c>
      <c r="L352" s="41">
        <f>L338+L351</f>
        <v>601116.54999999993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150055.78</v>
      </c>
      <c r="I358" s="18"/>
      <c r="J358" s="18">
        <v>4063</v>
      </c>
      <c r="K358" s="18"/>
      <c r="L358" s="13">
        <f>SUM(F358:K358)</f>
        <v>154118.78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v>61787.67</v>
      </c>
      <c r="I359" s="18"/>
      <c r="J359" s="18"/>
      <c r="K359" s="18"/>
      <c r="L359" s="19">
        <f>SUM(F359:K359)</f>
        <v>61787.67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82383.570000000007</v>
      </c>
      <c r="I360" s="18"/>
      <c r="J360" s="18"/>
      <c r="K360" s="18"/>
      <c r="L360" s="19">
        <f>SUM(F360:K360)</f>
        <v>82383.570000000007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294227.02</v>
      </c>
      <c r="I362" s="47">
        <f t="shared" si="22"/>
        <v>0</v>
      </c>
      <c r="J362" s="47">
        <f t="shared" si="22"/>
        <v>4063</v>
      </c>
      <c r="K362" s="47">
        <f t="shared" si="22"/>
        <v>0</v>
      </c>
      <c r="L362" s="47">
        <f t="shared" si="22"/>
        <v>298290.02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v>42827.53</v>
      </c>
      <c r="I376" s="18"/>
      <c r="J376" s="18"/>
      <c r="K376" s="18"/>
      <c r="L376" s="13">
        <f t="shared" si="23"/>
        <v>42827.53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42827.53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42827.53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178.12</v>
      </c>
      <c r="I389" s="18"/>
      <c r="J389" s="24" t="s">
        <v>288</v>
      </c>
      <c r="K389" s="24" t="s">
        <v>288</v>
      </c>
      <c r="L389" s="56">
        <f t="shared" si="25"/>
        <v>178.12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178.12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178.12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50000</v>
      </c>
      <c r="H396" s="18">
        <v>2185.62</v>
      </c>
      <c r="I396" s="18"/>
      <c r="J396" s="24" t="s">
        <v>288</v>
      </c>
      <c r="K396" s="24" t="s">
        <v>288</v>
      </c>
      <c r="L396" s="56">
        <f t="shared" si="26"/>
        <v>52185.62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12215.13</v>
      </c>
      <c r="I397" s="18"/>
      <c r="J397" s="24" t="s">
        <v>288</v>
      </c>
      <c r="K397" s="24" t="s">
        <v>288</v>
      </c>
      <c r="L397" s="56">
        <f t="shared" si="26"/>
        <v>12215.13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14400.75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64400.75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14578.87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64578.87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42827.53</v>
      </c>
      <c r="L422" s="56">
        <f t="shared" si="29"/>
        <v>42827.53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42827.53</v>
      </c>
      <c r="L427" s="47">
        <f t="shared" si="30"/>
        <v>42827.53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42827.53</v>
      </c>
      <c r="L434" s="47">
        <f t="shared" si="32"/>
        <v>42827.53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32742.48</v>
      </c>
      <c r="G442" s="18">
        <v>393873.56</v>
      </c>
      <c r="H442" s="18"/>
      <c r="I442" s="56">
        <f t="shared" si="33"/>
        <v>426616.04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32742.48</v>
      </c>
      <c r="G446" s="13">
        <f>SUM(G439:G445)</f>
        <v>393873.56</v>
      </c>
      <c r="H446" s="13">
        <f>SUM(H439:H445)</f>
        <v>0</v>
      </c>
      <c r="I446" s="13">
        <f>SUM(I439:I445)</f>
        <v>426616.04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>
        <v>42827.53</v>
      </c>
      <c r="H449" s="18"/>
      <c r="I449" s="56">
        <f>SUM(F449:H449)</f>
        <v>42827.53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42827.53</v>
      </c>
      <c r="H452" s="72">
        <f>SUM(H448:H451)</f>
        <v>0</v>
      </c>
      <c r="I452" s="72">
        <f>SUM(I448:I451)</f>
        <v>42827.53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32742.48</v>
      </c>
      <c r="G459" s="18">
        <v>351046.03</v>
      </c>
      <c r="H459" s="18"/>
      <c r="I459" s="56">
        <f t="shared" si="34"/>
        <v>383788.51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32742.48</v>
      </c>
      <c r="G460" s="83">
        <f>SUM(G454:G459)</f>
        <v>351046.03</v>
      </c>
      <c r="H460" s="83">
        <f>SUM(H454:H459)</f>
        <v>0</v>
      </c>
      <c r="I460" s="83">
        <f>SUM(I454:I459)</f>
        <v>383788.51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32742.48</v>
      </c>
      <c r="G461" s="42">
        <f>G452+G460</f>
        <v>393873.56000000006</v>
      </c>
      <c r="H461" s="42">
        <f>H452+H460</f>
        <v>0</v>
      </c>
      <c r="I461" s="42">
        <f>I452+I460</f>
        <v>426616.04000000004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484582.06</v>
      </c>
      <c r="G465" s="18">
        <v>9113.7800000000007</v>
      </c>
      <c r="H465" s="18">
        <v>8027.72</v>
      </c>
      <c r="I465" s="18">
        <v>0</v>
      </c>
      <c r="J465" s="18">
        <v>362037.17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10831376.720000001</v>
      </c>
      <c r="G468" s="18">
        <v>298380</v>
      </c>
      <c r="H468" s="18">
        <v>605203.24</v>
      </c>
      <c r="I468" s="18">
        <v>42827.53</v>
      </c>
      <c r="J468" s="18">
        <v>64578.87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10831376.720000001</v>
      </c>
      <c r="G470" s="53">
        <f>SUM(G468:G469)</f>
        <v>298380</v>
      </c>
      <c r="H470" s="53">
        <f>SUM(H468:H469)</f>
        <v>605203.24</v>
      </c>
      <c r="I470" s="53">
        <f>SUM(I468:I469)</f>
        <v>42827.53</v>
      </c>
      <c r="J470" s="53">
        <f>SUM(J468:J469)</f>
        <v>64578.87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10919079.810000001</v>
      </c>
      <c r="G472" s="18">
        <v>298290.02</v>
      </c>
      <c r="H472" s="18">
        <v>601116.55000000005</v>
      </c>
      <c r="I472" s="18">
        <v>42827.53</v>
      </c>
      <c r="J472" s="18">
        <v>42827.53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10919079.810000001</v>
      </c>
      <c r="G474" s="53">
        <f>SUM(G472:G473)</f>
        <v>298290.02</v>
      </c>
      <c r="H474" s="53">
        <f>SUM(H472:H473)</f>
        <v>601116.55000000005</v>
      </c>
      <c r="I474" s="53">
        <f>SUM(I472:I473)</f>
        <v>42827.53</v>
      </c>
      <c r="J474" s="53">
        <f>SUM(J472:J473)</f>
        <v>42827.53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396878.97000000067</v>
      </c>
      <c r="G476" s="53">
        <f>(G465+G470)- G474</f>
        <v>9203.7600000000093</v>
      </c>
      <c r="H476" s="53">
        <f>(H465+H470)- H474</f>
        <v>12114.409999999916</v>
      </c>
      <c r="I476" s="53">
        <f>(I465+I470)- I474</f>
        <v>0</v>
      </c>
      <c r="J476" s="53">
        <f>(J465+J470)- J474</f>
        <v>383788.51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13032960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4.04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6500000</v>
      </c>
      <c r="G495" s="18"/>
      <c r="H495" s="18"/>
      <c r="I495" s="18"/>
      <c r="J495" s="18"/>
      <c r="K495" s="53">
        <f>SUM(F495:J495)</f>
        <v>6500000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650000</v>
      </c>
      <c r="G497" s="18"/>
      <c r="H497" s="18"/>
      <c r="I497" s="18"/>
      <c r="J497" s="18"/>
      <c r="K497" s="53">
        <f t="shared" si="35"/>
        <v>650000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5850000</v>
      </c>
      <c r="G498" s="204"/>
      <c r="H498" s="204"/>
      <c r="I498" s="204"/>
      <c r="J498" s="204"/>
      <c r="K498" s="205">
        <f t="shared" si="35"/>
        <v>5850000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851399.75</v>
      </c>
      <c r="G499" s="18"/>
      <c r="H499" s="18"/>
      <c r="I499" s="18"/>
      <c r="J499" s="18"/>
      <c r="K499" s="53">
        <f t="shared" si="35"/>
        <v>851399.75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6701399.75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6701399.75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650000</v>
      </c>
      <c r="G501" s="204"/>
      <c r="H501" s="204"/>
      <c r="I501" s="204"/>
      <c r="J501" s="204"/>
      <c r="K501" s="205">
        <f t="shared" si="35"/>
        <v>650000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225743.5</v>
      </c>
      <c r="G502" s="18"/>
      <c r="H502" s="18"/>
      <c r="I502" s="18"/>
      <c r="J502" s="18"/>
      <c r="K502" s="53">
        <f t="shared" si="35"/>
        <v>225743.5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875743.5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875743.5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494468.5</v>
      </c>
      <c r="G521" s="18">
        <v>139094.26999999999</v>
      </c>
      <c r="H521" s="18">
        <v>110531.82</v>
      </c>
      <c r="I521" s="18">
        <v>4863.9799999999996</v>
      </c>
      <c r="J521" s="18"/>
      <c r="K521" s="18"/>
      <c r="L521" s="88">
        <f>SUM(F521:K521)</f>
        <v>748958.57000000007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202412.47</v>
      </c>
      <c r="G522" s="18">
        <v>50029.24</v>
      </c>
      <c r="H522" s="18">
        <v>63430.19</v>
      </c>
      <c r="I522" s="18">
        <v>590.79</v>
      </c>
      <c r="J522" s="18"/>
      <c r="K522" s="18"/>
      <c r="L522" s="88">
        <f>SUM(F522:K522)</f>
        <v>316462.69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275270.77</v>
      </c>
      <c r="G523" s="18">
        <v>68037.25</v>
      </c>
      <c r="H523" s="18">
        <v>317778.99</v>
      </c>
      <c r="I523" s="18">
        <v>1103.44</v>
      </c>
      <c r="J523" s="18"/>
      <c r="K523" s="18"/>
      <c r="L523" s="88">
        <f>SUM(F523:K523)</f>
        <v>662190.44999999995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972151.74</v>
      </c>
      <c r="G524" s="108">
        <f t="shared" ref="G524:L524" si="36">SUM(G521:G523)</f>
        <v>257160.75999999998</v>
      </c>
      <c r="H524" s="108">
        <f t="shared" si="36"/>
        <v>491741</v>
      </c>
      <c r="I524" s="108">
        <f t="shared" si="36"/>
        <v>6558.2099999999991</v>
      </c>
      <c r="J524" s="108">
        <f t="shared" si="36"/>
        <v>0</v>
      </c>
      <c r="K524" s="108">
        <f t="shared" si="36"/>
        <v>0</v>
      </c>
      <c r="L524" s="89">
        <f t="shared" si="36"/>
        <v>1727611.71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100520.96000000001</v>
      </c>
      <c r="G526" s="18">
        <v>55507.77</v>
      </c>
      <c r="H526" s="18">
        <v>51947.13</v>
      </c>
      <c r="I526" s="18">
        <v>699.16</v>
      </c>
      <c r="J526" s="18"/>
      <c r="K526" s="18">
        <v>240.45</v>
      </c>
      <c r="L526" s="88">
        <f>SUM(F526:K526)</f>
        <v>208915.47000000003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40662.5</v>
      </c>
      <c r="G527" s="18">
        <v>22453.87</v>
      </c>
      <c r="H527" s="18">
        <v>21479.1</v>
      </c>
      <c r="I527" s="18">
        <v>282.82</v>
      </c>
      <c r="J527" s="18"/>
      <c r="K527" s="18">
        <v>97.27</v>
      </c>
      <c r="L527" s="88">
        <f>SUM(F527:K527)</f>
        <v>84975.560000000012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55298.96</v>
      </c>
      <c r="G528" s="18">
        <v>30536.14</v>
      </c>
      <c r="H528" s="18">
        <v>34969</v>
      </c>
      <c r="I528" s="18">
        <v>384.63</v>
      </c>
      <c r="J528" s="18"/>
      <c r="K528" s="18">
        <v>132.28</v>
      </c>
      <c r="L528" s="88">
        <f>SUM(F528:K528)</f>
        <v>121321.01000000001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196482.42</v>
      </c>
      <c r="G529" s="89">
        <f t="shared" ref="G529:L529" si="37">SUM(G526:G528)</f>
        <v>108497.78</v>
      </c>
      <c r="H529" s="89">
        <f t="shared" si="37"/>
        <v>108395.23</v>
      </c>
      <c r="I529" s="89">
        <f t="shared" si="37"/>
        <v>1366.6100000000001</v>
      </c>
      <c r="J529" s="89">
        <f t="shared" si="37"/>
        <v>0</v>
      </c>
      <c r="K529" s="89">
        <f t="shared" si="37"/>
        <v>470</v>
      </c>
      <c r="L529" s="89">
        <f t="shared" si="37"/>
        <v>415212.04000000004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84795.27</v>
      </c>
      <c r="G531" s="18">
        <v>39255.9</v>
      </c>
      <c r="H531" s="18">
        <v>1121.58</v>
      </c>
      <c r="I531" s="18">
        <v>73.040000000000006</v>
      </c>
      <c r="J531" s="18"/>
      <c r="K531" s="18">
        <v>672.37</v>
      </c>
      <c r="L531" s="88">
        <f>SUM(F531:K531)</f>
        <v>125918.16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34301.19</v>
      </c>
      <c r="G532" s="18">
        <v>15879.71</v>
      </c>
      <c r="H532" s="18">
        <v>453.7</v>
      </c>
      <c r="I532" s="18">
        <v>29.54</v>
      </c>
      <c r="J532" s="18"/>
      <c r="K532" s="18">
        <v>271.99</v>
      </c>
      <c r="L532" s="88">
        <f>SUM(F532:K532)</f>
        <v>50936.13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46647.89</v>
      </c>
      <c r="G533" s="18">
        <v>21595.599999999999</v>
      </c>
      <c r="H533" s="18">
        <v>617.01</v>
      </c>
      <c r="I533" s="18">
        <v>40.18</v>
      </c>
      <c r="J533" s="18"/>
      <c r="K533" s="18">
        <v>369.88</v>
      </c>
      <c r="L533" s="88">
        <f>SUM(F533:K533)</f>
        <v>69270.559999999983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165744.35</v>
      </c>
      <c r="G534" s="89">
        <f t="shared" ref="G534:L534" si="38">SUM(G531:G533)</f>
        <v>76731.209999999992</v>
      </c>
      <c r="H534" s="89">
        <f t="shared" si="38"/>
        <v>2192.29</v>
      </c>
      <c r="I534" s="89">
        <f t="shared" si="38"/>
        <v>142.76000000000002</v>
      </c>
      <c r="J534" s="89">
        <f t="shared" si="38"/>
        <v>0</v>
      </c>
      <c r="K534" s="89">
        <f t="shared" si="38"/>
        <v>1314.24</v>
      </c>
      <c r="L534" s="89">
        <f t="shared" si="38"/>
        <v>246124.84999999998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724.5</v>
      </c>
      <c r="I538" s="18"/>
      <c r="J538" s="18"/>
      <c r="K538" s="18"/>
      <c r="L538" s="88">
        <f>SUM(F538:K538)</f>
        <v>724.5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724.5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724.5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21117.75</v>
      </c>
      <c r="I541" s="18"/>
      <c r="J541" s="18"/>
      <c r="K541" s="18"/>
      <c r="L541" s="88">
        <f>SUM(F541:K541)</f>
        <v>21117.75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12118.71</v>
      </c>
      <c r="I542" s="18"/>
      <c r="J542" s="18"/>
      <c r="K542" s="18"/>
      <c r="L542" s="88">
        <f>SUM(F542:K542)</f>
        <v>12118.71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60713.51</v>
      </c>
      <c r="I543" s="18"/>
      <c r="J543" s="18"/>
      <c r="K543" s="18"/>
      <c r="L543" s="88">
        <f>SUM(F543:K543)</f>
        <v>60713.51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93949.97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93949.97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1334378.51</v>
      </c>
      <c r="G545" s="89">
        <f t="shared" ref="G545:L545" si="41">G524+G529+G534+G539+G544</f>
        <v>442389.75</v>
      </c>
      <c r="H545" s="89">
        <f t="shared" si="41"/>
        <v>697002.99</v>
      </c>
      <c r="I545" s="89">
        <f t="shared" si="41"/>
        <v>8067.58</v>
      </c>
      <c r="J545" s="89">
        <f t="shared" si="41"/>
        <v>0</v>
      </c>
      <c r="K545" s="89">
        <f t="shared" si="41"/>
        <v>1784.24</v>
      </c>
      <c r="L545" s="89">
        <f t="shared" si="41"/>
        <v>2483623.0700000003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748958.57000000007</v>
      </c>
      <c r="G549" s="87">
        <f>L526</f>
        <v>208915.47000000003</v>
      </c>
      <c r="H549" s="87">
        <f>L531</f>
        <v>125918.16</v>
      </c>
      <c r="I549" s="87">
        <f>L536</f>
        <v>0</v>
      </c>
      <c r="J549" s="87">
        <f>L541</f>
        <v>21117.75</v>
      </c>
      <c r="K549" s="87">
        <f>SUM(F549:J549)</f>
        <v>1104909.95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316462.69</v>
      </c>
      <c r="G550" s="87">
        <f>L527</f>
        <v>84975.560000000012</v>
      </c>
      <c r="H550" s="87">
        <f>L532</f>
        <v>50936.13</v>
      </c>
      <c r="I550" s="87">
        <f>L537</f>
        <v>0</v>
      </c>
      <c r="J550" s="87">
        <f>L542</f>
        <v>12118.71</v>
      </c>
      <c r="K550" s="87">
        <f>SUM(F550:J550)</f>
        <v>464493.09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662190.44999999995</v>
      </c>
      <c r="G551" s="87">
        <f>L528</f>
        <v>121321.01000000001</v>
      </c>
      <c r="H551" s="87">
        <f>L533</f>
        <v>69270.559999999983</v>
      </c>
      <c r="I551" s="87">
        <f>L538</f>
        <v>724.5</v>
      </c>
      <c r="J551" s="87">
        <f>L543</f>
        <v>60713.51</v>
      </c>
      <c r="K551" s="87">
        <f>SUM(F551:J551)</f>
        <v>914220.02999999991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1727611.71</v>
      </c>
      <c r="G552" s="89">
        <f t="shared" si="42"/>
        <v>415212.04000000004</v>
      </c>
      <c r="H552" s="89">
        <f t="shared" si="42"/>
        <v>246124.84999999998</v>
      </c>
      <c r="I552" s="89">
        <f t="shared" si="42"/>
        <v>724.5</v>
      </c>
      <c r="J552" s="89">
        <f t="shared" si="42"/>
        <v>93949.97</v>
      </c>
      <c r="K552" s="89">
        <f t="shared" si="42"/>
        <v>2483623.0699999998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10975</v>
      </c>
      <c r="G562" s="18">
        <v>839.62</v>
      </c>
      <c r="H562" s="18"/>
      <c r="I562" s="18"/>
      <c r="J562" s="18"/>
      <c r="K562" s="18"/>
      <c r="L562" s="88">
        <f>SUM(F562:K562)</f>
        <v>11814.62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10975</v>
      </c>
      <c r="G565" s="89">
        <f t="shared" si="44"/>
        <v>839.62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11814.62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10975</v>
      </c>
      <c r="G571" s="89">
        <f t="shared" ref="G571:L571" si="46">G560+G565+G570</f>
        <v>839.62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11814.62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13661</v>
      </c>
      <c r="I576" s="87">
        <f t="shared" ref="I576:I587" si="47">SUM(F576:H576)</f>
        <v>13661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110531.82</v>
      </c>
      <c r="G582" s="18">
        <v>63430.19</v>
      </c>
      <c r="H582" s="18">
        <v>317778.99</v>
      </c>
      <c r="I582" s="87">
        <f t="shared" si="47"/>
        <v>491741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34118</v>
      </c>
      <c r="I585" s="87">
        <f t="shared" si="47"/>
        <v>34118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85059.21</v>
      </c>
      <c r="I591" s="18">
        <v>35024.379999999997</v>
      </c>
      <c r="J591" s="18">
        <v>46699.17</v>
      </c>
      <c r="K591" s="104">
        <f t="shared" ref="K591:K597" si="48">SUM(H591:J591)</f>
        <v>166782.76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20668.990000000002</v>
      </c>
      <c r="I592" s="18">
        <v>12213.5</v>
      </c>
      <c r="J592" s="18">
        <v>61067.48</v>
      </c>
      <c r="K592" s="104">
        <f t="shared" si="48"/>
        <v>93949.97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11763.79</v>
      </c>
      <c r="J594" s="18">
        <v>35291.39</v>
      </c>
      <c r="K594" s="104">
        <f t="shared" si="48"/>
        <v>47055.18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2891.55</v>
      </c>
      <c r="I595" s="18">
        <v>1933.12</v>
      </c>
      <c r="J595" s="18">
        <v>2669.54</v>
      </c>
      <c r="K595" s="104">
        <f t="shared" si="48"/>
        <v>7494.21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>
        <v>25882.09</v>
      </c>
      <c r="K597" s="104">
        <f t="shared" si="48"/>
        <v>25882.09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108619.75000000001</v>
      </c>
      <c r="I598" s="108">
        <f>SUM(I591:I597)</f>
        <v>60934.79</v>
      </c>
      <c r="J598" s="108">
        <f>SUM(J591:J597)</f>
        <v>171609.66999999998</v>
      </c>
      <c r="K598" s="108">
        <f>SUM(K591:K597)</f>
        <v>341164.21000000008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33634.589999999997</v>
      </c>
      <c r="I604" s="18">
        <v>12178.48</v>
      </c>
      <c r="J604" s="18">
        <v>12640.25</v>
      </c>
      <c r="K604" s="104">
        <f>SUM(H604:J604)</f>
        <v>58453.319999999992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33634.589999999997</v>
      </c>
      <c r="I605" s="108">
        <f>SUM(I602:I604)</f>
        <v>12178.48</v>
      </c>
      <c r="J605" s="108">
        <f>SUM(J602:J604)</f>
        <v>12640.25</v>
      </c>
      <c r="K605" s="108">
        <f>SUM(K602:K604)</f>
        <v>58453.319999999992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26157.34</v>
      </c>
      <c r="G611" s="18">
        <v>4125.93</v>
      </c>
      <c r="H611" s="18"/>
      <c r="I611" s="18"/>
      <c r="J611" s="18"/>
      <c r="K611" s="18"/>
      <c r="L611" s="88">
        <f>SUM(F611:K611)</f>
        <v>30283.27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13831.58</v>
      </c>
      <c r="G612" s="18">
        <v>2088.4299999999998</v>
      </c>
      <c r="H612" s="18"/>
      <c r="I612" s="18"/>
      <c r="J612" s="18"/>
      <c r="K612" s="18"/>
      <c r="L612" s="88">
        <f>SUM(F612:K612)</f>
        <v>15920.01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39988.92</v>
      </c>
      <c r="G614" s="108">
        <f t="shared" si="49"/>
        <v>6214.3600000000006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46203.28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1179311.6499999999</v>
      </c>
      <c r="H617" s="109">
        <f>SUM(F52)</f>
        <v>1179311.6499999999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36233.699999999997</v>
      </c>
      <c r="H618" s="109">
        <f>SUM(G52)</f>
        <v>36233.699999999997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103495.13</v>
      </c>
      <c r="H619" s="109">
        <f>SUM(H52)</f>
        <v>103495.13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42827.53</v>
      </c>
      <c r="H620" s="109">
        <f>SUM(I52)</f>
        <v>42827.53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426616.04</v>
      </c>
      <c r="H621" s="109">
        <f>SUM(J52)</f>
        <v>426616.04000000004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396878.97</v>
      </c>
      <c r="H622" s="109">
        <f>F476</f>
        <v>396878.97000000067</v>
      </c>
      <c r="I622" s="121" t="s">
        <v>101</v>
      </c>
      <c r="J622" s="109">
        <f t="shared" ref="J622:J655" si="50">G622-H622</f>
        <v>-6.9849193096160889E-10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9203.76</v>
      </c>
      <c r="H623" s="109">
        <f>G476</f>
        <v>9203.7600000000093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12114.41</v>
      </c>
      <c r="H624" s="109">
        <f>H476</f>
        <v>12114.409999999916</v>
      </c>
      <c r="I624" s="121" t="s">
        <v>103</v>
      </c>
      <c r="J624" s="109">
        <f t="shared" si="50"/>
        <v>8.3673512563109398E-11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383788.51</v>
      </c>
      <c r="H626" s="109">
        <f>J476</f>
        <v>383788.51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10831376.720000001</v>
      </c>
      <c r="H627" s="104">
        <f>SUM(F468)</f>
        <v>10831376.720000001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298380</v>
      </c>
      <c r="H628" s="104">
        <f>SUM(G468)</f>
        <v>298380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605203.24000000011</v>
      </c>
      <c r="H629" s="104">
        <f>SUM(H468)</f>
        <v>605203.24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42827.53</v>
      </c>
      <c r="H630" s="104">
        <f>SUM(I468)</f>
        <v>42827.53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64578.87</v>
      </c>
      <c r="H631" s="104">
        <f>SUM(J468)</f>
        <v>64578.87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10919079.809999999</v>
      </c>
      <c r="H632" s="104">
        <f>SUM(F472)</f>
        <v>10919079.810000001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601116.54999999993</v>
      </c>
      <c r="H633" s="104">
        <f>SUM(H472)</f>
        <v>601116.55000000005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298290.02</v>
      </c>
      <c r="H635" s="104">
        <f>SUM(G472)</f>
        <v>298290.02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42827.53</v>
      </c>
      <c r="H636" s="104">
        <f>SUM(I472)</f>
        <v>42827.53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64578.87</v>
      </c>
      <c r="H637" s="164">
        <f>SUM(J468)</f>
        <v>64578.87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42827.53</v>
      </c>
      <c r="H638" s="164">
        <f>SUM(J472)</f>
        <v>42827.53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32742.48</v>
      </c>
      <c r="H639" s="104">
        <f>SUM(F461)</f>
        <v>32742.48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393873.56</v>
      </c>
      <c r="H640" s="104">
        <f>SUM(G461)</f>
        <v>393873.56000000006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426616.04</v>
      </c>
      <c r="H642" s="104">
        <f>SUM(I461)</f>
        <v>426616.04000000004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14578.87</v>
      </c>
      <c r="H644" s="104">
        <f>H408</f>
        <v>14578.87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64578.87</v>
      </c>
      <c r="H646" s="104">
        <f>L408</f>
        <v>64578.87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341164.21000000008</v>
      </c>
      <c r="H647" s="104">
        <f>L208+L226+L244</f>
        <v>341164.21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58453.319999999992</v>
      </c>
      <c r="H648" s="104">
        <f>(J257+J338)-(J255+J336)</f>
        <v>58453.32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108619.75</v>
      </c>
      <c r="H649" s="104">
        <f>H598</f>
        <v>108619.75000000001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60934.79</v>
      </c>
      <c r="H650" s="104">
        <f>I598</f>
        <v>60934.79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171609.67</v>
      </c>
      <c r="H651" s="104">
        <f>J598</f>
        <v>171609.66999999998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4777616.2600000007</v>
      </c>
      <c r="G660" s="19">
        <f>(L229+L309+L359)</f>
        <v>2344811.04</v>
      </c>
      <c r="H660" s="19">
        <f>(L247+L328+L360)</f>
        <v>3713836.5099999993</v>
      </c>
      <c r="I660" s="19">
        <f>SUM(F660:H660)</f>
        <v>10836263.810000001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50508.113819684608</v>
      </c>
      <c r="G661" s="19">
        <f>(L359/IF(SUM(L358:L360)=0,1,SUM(L358:L360))*(SUM(G97:G110)))</f>
        <v>20249.178387040905</v>
      </c>
      <c r="H661" s="19">
        <f>(L360/IF(SUM(L358:L360)=0,1,SUM(L358:L360))*(SUM(G97:G110)))</f>
        <v>26998.907793274477</v>
      </c>
      <c r="I661" s="19">
        <f>SUM(F661:H661)</f>
        <v>97756.199999999983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108619.75</v>
      </c>
      <c r="G662" s="19">
        <f>(L226+L306)-(J226+J306)</f>
        <v>60934.79</v>
      </c>
      <c r="H662" s="19">
        <f>(L244+L325)-(J244+J325)</f>
        <v>171609.67</v>
      </c>
      <c r="I662" s="19">
        <f>SUM(F662:H662)</f>
        <v>341164.21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174449.68</v>
      </c>
      <c r="G663" s="199">
        <f>SUM(G575:G587)+SUM(I602:I604)+L612</f>
        <v>91528.68</v>
      </c>
      <c r="H663" s="199">
        <f>SUM(H575:H587)+SUM(J602:J604)+L613</f>
        <v>378198.24</v>
      </c>
      <c r="I663" s="19">
        <f>SUM(F663:H663)</f>
        <v>644176.6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4444038.7161803162</v>
      </c>
      <c r="G664" s="19">
        <f>G660-SUM(G661:G663)</f>
        <v>2172098.3916129591</v>
      </c>
      <c r="H664" s="19">
        <f>H660-SUM(H661:H663)</f>
        <v>3137029.6922067245</v>
      </c>
      <c r="I664" s="19">
        <f>I660-SUM(I661:I663)</f>
        <v>9753166.8000000007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11.31+56.81+214.53</f>
        <v>282.64999999999998</v>
      </c>
      <c r="G665" s="248">
        <v>108.44</v>
      </c>
      <c r="H665" s="248">
        <v>144.54</v>
      </c>
      <c r="I665" s="19">
        <f>SUM(F665:H665)</f>
        <v>535.63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15722.76</v>
      </c>
      <c r="G667" s="19">
        <f>ROUND(G664/G665,2)</f>
        <v>20030.419999999998</v>
      </c>
      <c r="H667" s="19">
        <f>ROUND(H664/H665,2)</f>
        <v>21703.54</v>
      </c>
      <c r="I667" s="19">
        <f>ROUND(I664/I665,2)</f>
        <v>18208.78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-2.33</v>
      </c>
      <c r="I670" s="19">
        <f>SUM(F670:H670)</f>
        <v>-2.33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15722.76</v>
      </c>
      <c r="G672" s="19">
        <f>ROUND((G664+G669)/(G665+G670),2)</f>
        <v>20030.419999999998</v>
      </c>
      <c r="H672" s="19">
        <f>ROUND((H664+H669)/(H665+H670),2)</f>
        <v>22059.14</v>
      </c>
      <c r="I672" s="19">
        <f>ROUND((I664+I669)/(I665+I670),2)</f>
        <v>18288.330000000002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Hinsdale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2615408.7599999998</v>
      </c>
      <c r="C9" s="229">
        <f>'DOE25'!G197+'DOE25'!G215+'DOE25'!G233+'DOE25'!G276+'DOE25'!G295+'DOE25'!G314</f>
        <v>1170738.7899999998</v>
      </c>
    </row>
    <row r="10" spans="1:3" x14ac:dyDescent="0.2">
      <c r="A10" t="s">
        <v>778</v>
      </c>
      <c r="B10" s="240">
        <v>2520944.96</v>
      </c>
      <c r="C10" s="240">
        <v>1159301.93</v>
      </c>
    </row>
    <row r="11" spans="1:3" x14ac:dyDescent="0.2">
      <c r="A11" t="s">
        <v>779</v>
      </c>
      <c r="B11" s="240">
        <v>94463.8</v>
      </c>
      <c r="C11" s="240">
        <v>11436.86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2615408.7599999998</v>
      </c>
      <c r="C13" s="231">
        <f>SUM(C10:C12)</f>
        <v>1170738.79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983126.74000000011</v>
      </c>
      <c r="C18" s="229">
        <f>'DOE25'!G198+'DOE25'!G216+'DOE25'!G234+'DOE25'!G277+'DOE25'!G296+'DOE25'!G315</f>
        <v>258000.38</v>
      </c>
    </row>
    <row r="19" spans="1:3" x14ac:dyDescent="0.2">
      <c r="A19" t="s">
        <v>778</v>
      </c>
      <c r="B19" s="240">
        <v>405004.73</v>
      </c>
      <c r="C19" s="240">
        <v>213774.05</v>
      </c>
    </row>
    <row r="20" spans="1:3" x14ac:dyDescent="0.2">
      <c r="A20" t="s">
        <v>779</v>
      </c>
      <c r="B20" s="240">
        <v>578122.01</v>
      </c>
      <c r="C20" s="240">
        <v>44226.33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983126.74</v>
      </c>
      <c r="C22" s="231">
        <f>SUM(C19:C21)</f>
        <v>258000.38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14685</v>
      </c>
      <c r="C27" s="234">
        <f>'DOE25'!G199+'DOE25'!G217+'DOE25'!G235+'DOE25'!G278+'DOE25'!G297+'DOE25'!G316</f>
        <v>1123.44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>
        <v>14685</v>
      </c>
      <c r="C30" s="240">
        <v>1123.44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14685</v>
      </c>
      <c r="C31" s="231">
        <f>SUM(C28:C30)</f>
        <v>1123.44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132778.32</v>
      </c>
      <c r="C36" s="235">
        <f>'DOE25'!G200+'DOE25'!G218+'DOE25'!G236+'DOE25'!G279+'DOE25'!G298+'DOE25'!G317</f>
        <v>18158.080000000002</v>
      </c>
    </row>
    <row r="37" spans="1:3" x14ac:dyDescent="0.2">
      <c r="A37" t="s">
        <v>778</v>
      </c>
      <c r="B37" s="240">
        <v>39988.92</v>
      </c>
      <c r="C37" s="240">
        <v>6214.36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92789.4</v>
      </c>
      <c r="C39" s="240">
        <v>11943.72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132778.32</v>
      </c>
      <c r="C40" s="231">
        <f>SUM(C37:C39)</f>
        <v>18158.079999999998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5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Hinsdale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5614776.8099999996</v>
      </c>
      <c r="D5" s="20">
        <f>SUM('DOE25'!L197:L200)+SUM('DOE25'!L215:L218)+SUM('DOE25'!L233:L236)-F5-G5</f>
        <v>5608268.6499999994</v>
      </c>
      <c r="E5" s="243"/>
      <c r="F5" s="255">
        <f>SUM('DOE25'!J197:J200)+SUM('DOE25'!J215:J218)+SUM('DOE25'!J233:J236)</f>
        <v>2271.29</v>
      </c>
      <c r="G5" s="53">
        <f>SUM('DOE25'!K197:K200)+SUM('DOE25'!K215:K218)+SUM('DOE25'!K233:K236)</f>
        <v>4236.87</v>
      </c>
      <c r="H5" s="259"/>
    </row>
    <row r="6" spans="1:9" x14ac:dyDescent="0.2">
      <c r="A6" s="32">
        <v>2100</v>
      </c>
      <c r="B6" t="s">
        <v>800</v>
      </c>
      <c r="C6" s="245">
        <f t="shared" si="0"/>
        <v>1010537.52</v>
      </c>
      <c r="D6" s="20">
        <f>'DOE25'!L202+'DOE25'!L220+'DOE25'!L238-F6-G6</f>
        <v>1009911.52</v>
      </c>
      <c r="E6" s="243"/>
      <c r="F6" s="255">
        <f>'DOE25'!J202+'DOE25'!J220+'DOE25'!J238</f>
        <v>0</v>
      </c>
      <c r="G6" s="53">
        <f>'DOE25'!K202+'DOE25'!K220+'DOE25'!K238</f>
        <v>626</v>
      </c>
      <c r="H6" s="259"/>
    </row>
    <row r="7" spans="1:9" x14ac:dyDescent="0.2">
      <c r="A7" s="32">
        <v>2200</v>
      </c>
      <c r="B7" t="s">
        <v>833</v>
      </c>
      <c r="C7" s="245">
        <f t="shared" si="0"/>
        <v>175948.40000000002</v>
      </c>
      <c r="D7" s="20">
        <f>'DOE25'!L203+'DOE25'!L221+'DOE25'!L239-F7-G7</f>
        <v>175195.74000000002</v>
      </c>
      <c r="E7" s="243"/>
      <c r="F7" s="255">
        <f>'DOE25'!J203+'DOE25'!J221+'DOE25'!J239</f>
        <v>0</v>
      </c>
      <c r="G7" s="53">
        <f>'DOE25'!K203+'DOE25'!K221+'DOE25'!K239</f>
        <v>752.66000000000008</v>
      </c>
      <c r="H7" s="259"/>
    </row>
    <row r="8" spans="1:9" x14ac:dyDescent="0.2">
      <c r="A8" s="32">
        <v>2300</v>
      </c>
      <c r="B8" t="s">
        <v>801</v>
      </c>
      <c r="C8" s="245">
        <f t="shared" si="0"/>
        <v>426562.42000000004</v>
      </c>
      <c r="D8" s="243"/>
      <c r="E8" s="20">
        <f>'DOE25'!L204+'DOE25'!L222+'DOE25'!L240-F8-G8-D9-D11</f>
        <v>415149.74000000005</v>
      </c>
      <c r="F8" s="255">
        <f>'DOE25'!J204+'DOE25'!J222+'DOE25'!J240</f>
        <v>0</v>
      </c>
      <c r="G8" s="53">
        <f>'DOE25'!K204+'DOE25'!K222+'DOE25'!K240</f>
        <v>11412.68</v>
      </c>
      <c r="H8" s="259"/>
    </row>
    <row r="9" spans="1:9" x14ac:dyDescent="0.2">
      <c r="A9" s="32">
        <v>2310</v>
      </c>
      <c r="B9" t="s">
        <v>817</v>
      </c>
      <c r="C9" s="245">
        <f t="shared" si="0"/>
        <v>28219.58</v>
      </c>
      <c r="D9" s="244">
        <v>28219.58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11438.56</v>
      </c>
      <c r="D10" s="243"/>
      <c r="E10" s="244">
        <v>11438.56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212401.3</v>
      </c>
      <c r="D11" s="244">
        <v>212401.3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548686.66</v>
      </c>
      <c r="D12" s="20">
        <f>'DOE25'!L205+'DOE25'!L223+'DOE25'!L241-F12-G12</f>
        <v>544326.66</v>
      </c>
      <c r="E12" s="243"/>
      <c r="F12" s="255">
        <f>'DOE25'!J205+'DOE25'!J223+'DOE25'!J241</f>
        <v>0</v>
      </c>
      <c r="G12" s="53">
        <f>'DOE25'!K205+'DOE25'!K223+'DOE25'!K241</f>
        <v>4360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232295.5</v>
      </c>
      <c r="D13" s="243"/>
      <c r="E13" s="20">
        <f>'DOE25'!L206+'DOE25'!L224+'DOE25'!L242-F13-G13</f>
        <v>232145.5</v>
      </c>
      <c r="F13" s="255">
        <f>'DOE25'!J206+'DOE25'!J224+'DOE25'!J242</f>
        <v>0</v>
      </c>
      <c r="G13" s="53">
        <f>'DOE25'!K206+'DOE25'!K224+'DOE25'!K242</f>
        <v>150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1007718.2399999999</v>
      </c>
      <c r="D14" s="20">
        <f>'DOE25'!L207+'DOE25'!L225+'DOE25'!L243-F14-G14</f>
        <v>1000389.9399999998</v>
      </c>
      <c r="E14" s="243"/>
      <c r="F14" s="255">
        <f>'DOE25'!J207+'DOE25'!J225+'DOE25'!J243</f>
        <v>7328.3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341164.21</v>
      </c>
      <c r="D15" s="20">
        <f>'DOE25'!L208+'DOE25'!L226+'DOE25'!L244-F15-G15</f>
        <v>341164.21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362795.67</v>
      </c>
      <c r="D16" s="243"/>
      <c r="E16" s="20">
        <f>'DOE25'!L209+'DOE25'!L227+'DOE25'!L245-F16-G16</f>
        <v>317770.07999999996</v>
      </c>
      <c r="F16" s="255">
        <f>'DOE25'!J209+'DOE25'!J227+'DOE25'!J245</f>
        <v>45025.590000000004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907973.5</v>
      </c>
      <c r="D25" s="243"/>
      <c r="E25" s="243"/>
      <c r="F25" s="258"/>
      <c r="G25" s="256"/>
      <c r="H25" s="257">
        <f>'DOE25'!L260+'DOE25'!L261+'DOE25'!L341+'DOE25'!L342</f>
        <v>907973.5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298290.02</v>
      </c>
      <c r="D29" s="20">
        <f>'DOE25'!L358+'DOE25'!L359+'DOE25'!L360-'DOE25'!I367-F29-G29</f>
        <v>294227.02</v>
      </c>
      <c r="E29" s="243"/>
      <c r="F29" s="255">
        <f>'DOE25'!J358+'DOE25'!J359+'DOE25'!J360</f>
        <v>4063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576867.48</v>
      </c>
      <c r="D31" s="20">
        <f>'DOE25'!L290+'DOE25'!L309+'DOE25'!L328+'DOE25'!L333+'DOE25'!L334+'DOE25'!L335-F31-G31</f>
        <v>566391.04999999993</v>
      </c>
      <c r="E31" s="243"/>
      <c r="F31" s="255">
        <f>'DOE25'!J290+'DOE25'!J309+'DOE25'!J328+'DOE25'!J333+'DOE25'!J334+'DOE25'!J335</f>
        <v>3828.14</v>
      </c>
      <c r="G31" s="53">
        <f>'DOE25'!K290+'DOE25'!K309+'DOE25'!K328+'DOE25'!K333+'DOE25'!K334+'DOE25'!K335</f>
        <v>6648.29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9780495.6700000018</v>
      </c>
      <c r="E33" s="246">
        <f>SUM(E5:E31)</f>
        <v>976503.88</v>
      </c>
      <c r="F33" s="246">
        <f>SUM(F5:F31)</f>
        <v>62516.320000000007</v>
      </c>
      <c r="G33" s="246">
        <f>SUM(G5:G31)</f>
        <v>28186.5</v>
      </c>
      <c r="H33" s="246">
        <f>SUM(H5:H31)</f>
        <v>907973.5</v>
      </c>
    </row>
    <row r="35" spans="2:8" ht="12" thickBot="1" x14ac:dyDescent="0.25">
      <c r="B35" s="253" t="s">
        <v>846</v>
      </c>
      <c r="D35" s="254">
        <f>E33</f>
        <v>976503.88</v>
      </c>
      <c r="E35" s="249"/>
    </row>
    <row r="36" spans="2:8" ht="12" thickTop="1" x14ac:dyDescent="0.2">
      <c r="B36" t="s">
        <v>814</v>
      </c>
      <c r="D36" s="20">
        <f>D33</f>
        <v>9780495.6700000018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Hinsdale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1048893.29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106978.66</v>
      </c>
      <c r="D11" s="95">
        <f>'DOE25'!G12</f>
        <v>15115.18</v>
      </c>
      <c r="E11" s="95">
        <f>'DOE25'!H12</f>
        <v>12114.41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16218.44</v>
      </c>
      <c r="D12" s="95">
        <f>'DOE25'!G13</f>
        <v>15332.8</v>
      </c>
      <c r="E12" s="95">
        <f>'DOE25'!H13</f>
        <v>91380.72</v>
      </c>
      <c r="F12" s="95">
        <f>'DOE25'!I13</f>
        <v>42827.53</v>
      </c>
      <c r="G12" s="95">
        <f>'DOE25'!J13</f>
        <v>426616.04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7221.26</v>
      </c>
      <c r="D13" s="95">
        <f>'DOE25'!G14</f>
        <v>4983.58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802.14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1179311.6499999999</v>
      </c>
      <c r="D18" s="41">
        <f>SUM(D8:D17)</f>
        <v>36233.699999999997</v>
      </c>
      <c r="E18" s="41">
        <f>SUM(E8:E17)</f>
        <v>103495.13</v>
      </c>
      <c r="F18" s="41">
        <f>SUM(F8:F17)</f>
        <v>42827.53</v>
      </c>
      <c r="G18" s="41">
        <f>SUM(G8:G17)</f>
        <v>426616.04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91380.72</v>
      </c>
      <c r="F21" s="95">
        <f>'DOE25'!I22</f>
        <v>42827.53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50980.08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42827.53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74033.13</v>
      </c>
      <c r="D23" s="95">
        <f>'DOE25'!G24</f>
        <v>27029.94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657419.47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782432.67999999993</v>
      </c>
      <c r="D31" s="41">
        <f>SUM(D21:D30)</f>
        <v>27029.94</v>
      </c>
      <c r="E31" s="41">
        <f>SUM(E21:E30)</f>
        <v>91380.72</v>
      </c>
      <c r="F31" s="41">
        <f>SUM(F21:F30)</f>
        <v>42827.53</v>
      </c>
      <c r="G31" s="41">
        <f>SUM(G21:G30)</f>
        <v>42827.53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9203.76</v>
      </c>
      <c r="E47" s="95">
        <f>'DOE25'!H48</f>
        <v>12114.41</v>
      </c>
      <c r="F47" s="95">
        <f>'DOE25'!I48</f>
        <v>0</v>
      </c>
      <c r="G47" s="95">
        <f>'DOE25'!J48</f>
        <v>383788.51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18439.72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378439.25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396878.97</v>
      </c>
      <c r="D50" s="41">
        <f>SUM(D34:D49)</f>
        <v>9203.76</v>
      </c>
      <c r="E50" s="41">
        <f>SUM(E34:E49)</f>
        <v>12114.41</v>
      </c>
      <c r="F50" s="41">
        <f>SUM(F34:F49)</f>
        <v>0</v>
      </c>
      <c r="G50" s="41">
        <f>SUM(G34:G49)</f>
        <v>383788.51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1179311.6499999999</v>
      </c>
      <c r="D51" s="41">
        <f>D50+D31</f>
        <v>36233.699999999997</v>
      </c>
      <c r="E51" s="41">
        <f>E50+E31</f>
        <v>103495.13</v>
      </c>
      <c r="F51" s="41">
        <f>F50+F31</f>
        <v>42827.53</v>
      </c>
      <c r="G51" s="41">
        <f>G50+G31</f>
        <v>426616.04000000004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5342455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48193.61</v>
      </c>
      <c r="D57" s="24" t="s">
        <v>288</v>
      </c>
      <c r="E57" s="95">
        <f>'DOE25'!H79</f>
        <v>22961.25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14578.87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97756.2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77924.27</v>
      </c>
      <c r="D61" s="95">
        <f>SUM('DOE25'!G98:G110)</f>
        <v>0</v>
      </c>
      <c r="E61" s="95">
        <f>SUM('DOE25'!H98:H110)</f>
        <v>7132.8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126117.88</v>
      </c>
      <c r="D62" s="130">
        <f>SUM(D57:D61)</f>
        <v>97756.2</v>
      </c>
      <c r="E62" s="130">
        <f>SUM(E57:E61)</f>
        <v>30094.05</v>
      </c>
      <c r="F62" s="130">
        <f>SUM(F57:F61)</f>
        <v>0</v>
      </c>
      <c r="G62" s="130">
        <f>SUM(G57:G61)</f>
        <v>14578.87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5468572.8799999999</v>
      </c>
      <c r="D63" s="22">
        <f>D56+D62</f>
        <v>97756.2</v>
      </c>
      <c r="E63" s="22">
        <f>E56+E62</f>
        <v>30094.05</v>
      </c>
      <c r="F63" s="22">
        <f>F56+F62</f>
        <v>0</v>
      </c>
      <c r="G63" s="22">
        <f>G56+G62</f>
        <v>14578.87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4131574.66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530976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4662550.66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462802.59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51462.35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15834.47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3039.51</v>
      </c>
      <c r="D77" s="95">
        <f>SUM('DOE25'!G131:G135)</f>
        <v>16342.08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533138.92000000004</v>
      </c>
      <c r="D78" s="130">
        <f>SUM(D72:D77)</f>
        <v>16342.08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5195689.58</v>
      </c>
      <c r="D81" s="130">
        <f>SUM(D79:D80)+D78+D70</f>
        <v>16342.08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12494.29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142865.19</v>
      </c>
      <c r="D88" s="95">
        <f>SUM('DOE25'!G153:G161)</f>
        <v>184281.72</v>
      </c>
      <c r="E88" s="95">
        <f>SUM('DOE25'!H153:H161)</f>
        <v>562614.9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142865.19</v>
      </c>
      <c r="D91" s="131">
        <f>SUM(D85:D90)</f>
        <v>184281.72</v>
      </c>
      <c r="E91" s="131">
        <f>SUM(E85:E90)</f>
        <v>575109.19000000006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24249.07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42827.53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24249.07</v>
      </c>
      <c r="D103" s="86">
        <f>SUM(D93:D102)</f>
        <v>0</v>
      </c>
      <c r="E103" s="86">
        <f>SUM(E93:E102)</f>
        <v>0</v>
      </c>
      <c r="F103" s="86">
        <f>SUM(F93:F102)</f>
        <v>42827.53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10831376.720000001</v>
      </c>
      <c r="D104" s="86">
        <f>D63+D81+D91+D103</f>
        <v>298380</v>
      </c>
      <c r="E104" s="86">
        <f>E63+E81+E91+E103</f>
        <v>605203.24000000011</v>
      </c>
      <c r="F104" s="86">
        <f>F63+F81+F91+F103</f>
        <v>42827.53</v>
      </c>
      <c r="G104" s="86">
        <f>G63+G81+G103</f>
        <v>64578.87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3729174.5199999996</v>
      </c>
      <c r="D109" s="24" t="s">
        <v>288</v>
      </c>
      <c r="E109" s="95">
        <f>('DOE25'!L276)+('DOE25'!L295)+('DOE25'!L314)</f>
        <v>253289.72000000003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1625592.71</v>
      </c>
      <c r="D110" s="24" t="s">
        <v>288</v>
      </c>
      <c r="E110" s="95">
        <f>('DOE25'!L277)+('DOE25'!L296)+('DOE25'!L315)</f>
        <v>126789.14000000001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51632.600000000006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208376.98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5614776.8099999996</v>
      </c>
      <c r="D115" s="86">
        <f>SUM(D109:D114)</f>
        <v>0</v>
      </c>
      <c r="E115" s="86">
        <f>SUM(E109:E114)</f>
        <v>380078.86000000004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1010537.52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175948.40000000002</v>
      </c>
      <c r="D119" s="24" t="s">
        <v>288</v>
      </c>
      <c r="E119" s="95">
        <f>+('DOE25'!L282)+('DOE25'!L301)+('DOE25'!L320)</f>
        <v>196788.62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667183.30000000005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548686.66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232295.5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1007718.2399999999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341164.21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362795.67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298290.02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4346329.5</v>
      </c>
      <c r="D128" s="86">
        <f>SUM(D118:D127)</f>
        <v>298290.02</v>
      </c>
      <c r="E128" s="86">
        <f>SUM(E118:E127)</f>
        <v>196788.62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42827.53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257973.5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24249.07</v>
      </c>
      <c r="F134" s="95">
        <f>'DOE25'!K381</f>
        <v>0</v>
      </c>
      <c r="G134" s="95">
        <f>'DOE25'!K434</f>
        <v>42827.53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178.12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64400.75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-14578.870000000003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957973.5</v>
      </c>
      <c r="D144" s="141">
        <f>SUM(D130:D143)</f>
        <v>0</v>
      </c>
      <c r="E144" s="141">
        <f>SUM(E130:E143)</f>
        <v>24249.07</v>
      </c>
      <c r="F144" s="141">
        <f>SUM(F130:F143)</f>
        <v>42827.53</v>
      </c>
      <c r="G144" s="141">
        <f>SUM(G130:G143)</f>
        <v>42827.53</v>
      </c>
    </row>
    <row r="145" spans="1:9" ht="12.75" thickTop="1" thickBot="1" x14ac:dyDescent="0.25">
      <c r="A145" s="33" t="s">
        <v>244</v>
      </c>
      <c r="C145" s="86">
        <f>(C115+C128+C144)</f>
        <v>10919079.809999999</v>
      </c>
      <c r="D145" s="86">
        <f>(D115+D128+D144)</f>
        <v>298290.02</v>
      </c>
      <c r="E145" s="86">
        <f>(E115+E128+E144)</f>
        <v>601116.54999999993</v>
      </c>
      <c r="F145" s="86">
        <f>(F115+F128+F144)</f>
        <v>42827.53</v>
      </c>
      <c r="G145" s="86">
        <f>(G115+G128+G144)</f>
        <v>42827.53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13032960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6500000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6500000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5850000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5850000</v>
      </c>
    </row>
    <row r="160" spans="1:9" x14ac:dyDescent="0.2">
      <c r="A160" s="22" t="s">
        <v>36</v>
      </c>
      <c r="B160" s="137">
        <f>'DOE25'!F499</f>
        <v>851399.75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851399.75</v>
      </c>
    </row>
    <row r="161" spans="1:7" x14ac:dyDescent="0.2">
      <c r="A161" s="22" t="s">
        <v>37</v>
      </c>
      <c r="B161" s="137">
        <f>'DOE25'!F500</f>
        <v>6701399.75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6701399.75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650000</v>
      </c>
    </row>
    <row r="163" spans="1:7" x14ac:dyDescent="0.2">
      <c r="A163" s="22" t="s">
        <v>39</v>
      </c>
      <c r="B163" s="137">
        <f>'DOE25'!F502</f>
        <v>225743.5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225743.5</v>
      </c>
    </row>
    <row r="164" spans="1:7" x14ac:dyDescent="0.2">
      <c r="A164" s="22" t="s">
        <v>246</v>
      </c>
      <c r="B164" s="137">
        <f>'DOE25'!F503</f>
        <v>875743.5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875743.5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Hinsdale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15723</v>
      </c>
    </row>
    <row r="5" spans="1:4" x14ac:dyDescent="0.2">
      <c r="B5" t="s">
        <v>703</v>
      </c>
      <c r="C5" s="179">
        <f>IF('DOE25'!G665+'DOE25'!G670=0,0,ROUND('DOE25'!G672,0))</f>
        <v>20030</v>
      </c>
    </row>
    <row r="6" spans="1:4" x14ac:dyDescent="0.2">
      <c r="B6" t="s">
        <v>62</v>
      </c>
      <c r="C6" s="179">
        <f>IF('DOE25'!H665+'DOE25'!H670=0,0,ROUND('DOE25'!H672,0))</f>
        <v>22059</v>
      </c>
    </row>
    <row r="7" spans="1:4" x14ac:dyDescent="0.2">
      <c r="B7" t="s">
        <v>704</v>
      </c>
      <c r="C7" s="179">
        <f>IF('DOE25'!I665+'DOE25'!I670=0,0,ROUND('DOE25'!I672,0))</f>
        <v>18288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3982464</v>
      </c>
      <c r="D10" s="182">
        <f>ROUND((C10/$C$28)*100,1)</f>
        <v>36.200000000000003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1752382</v>
      </c>
      <c r="D11" s="182">
        <f>ROUND((C11/$C$28)*100,1)</f>
        <v>15.9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51633</v>
      </c>
      <c r="D12" s="182">
        <f>ROUND((C12/$C$28)*100,1)</f>
        <v>0.5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208377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1010538</v>
      </c>
      <c r="D15" s="182">
        <f t="shared" ref="D15:D27" si="0">ROUND((C15/$C$28)*100,1)</f>
        <v>9.1999999999999993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372737</v>
      </c>
      <c r="D16" s="182">
        <f t="shared" si="0"/>
        <v>3.4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1029979</v>
      </c>
      <c r="D17" s="182">
        <f t="shared" si="0"/>
        <v>9.4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548687</v>
      </c>
      <c r="D18" s="182">
        <f t="shared" si="0"/>
        <v>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232296</v>
      </c>
      <c r="D19" s="182">
        <f t="shared" si="0"/>
        <v>2.1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1007718</v>
      </c>
      <c r="D20" s="182">
        <f t="shared" si="0"/>
        <v>9.1999999999999993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341164</v>
      </c>
      <c r="D21" s="182">
        <f t="shared" si="0"/>
        <v>3.1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257974</v>
      </c>
      <c r="D25" s="182">
        <f t="shared" si="0"/>
        <v>2.2999999999999998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200533.8</v>
      </c>
      <c r="D27" s="182">
        <f t="shared" si="0"/>
        <v>1.8</v>
      </c>
    </row>
    <row r="28" spans="1:4" x14ac:dyDescent="0.2">
      <c r="B28" s="187" t="s">
        <v>722</v>
      </c>
      <c r="C28" s="180">
        <f>SUM(C10:C27)</f>
        <v>10996482.800000001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42828</v>
      </c>
    </row>
    <row r="30" spans="1:4" x14ac:dyDescent="0.2">
      <c r="B30" s="187" t="s">
        <v>728</v>
      </c>
      <c r="C30" s="180">
        <f>SUM(C28:C29)</f>
        <v>11039310.800000001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5342455</v>
      </c>
      <c r="D35" s="182">
        <f t="shared" ref="D35:D40" si="1">ROUND((C35/$C$41)*100,1)</f>
        <v>45.9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170790.79999999981</v>
      </c>
      <c r="D36" s="182">
        <f t="shared" si="1"/>
        <v>1.5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4662551</v>
      </c>
      <c r="D37" s="182">
        <f t="shared" si="1"/>
        <v>40.1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549481</v>
      </c>
      <c r="D38" s="182">
        <f t="shared" si="1"/>
        <v>4.7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902256</v>
      </c>
      <c r="D39" s="182">
        <f t="shared" si="1"/>
        <v>7.8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11627533.800000001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8" sqref="A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Hinsdale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4</v>
      </c>
      <c r="B4" s="219">
        <v>6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4</v>
      </c>
      <c r="B5" s="219">
        <v>18</v>
      </c>
      <c r="C5" s="286" t="s">
        <v>916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22</v>
      </c>
      <c r="B6" s="219">
        <v>15</v>
      </c>
      <c r="C6" s="286" t="s">
        <v>917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22</v>
      </c>
      <c r="B7" s="219">
        <v>24</v>
      </c>
      <c r="C7" s="286" t="s">
        <v>919</v>
      </c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23</v>
      </c>
      <c r="B8" s="219">
        <v>7</v>
      </c>
      <c r="C8" s="286" t="s">
        <v>918</v>
      </c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2017-08-18T17:41:17Z</cp:lastPrinted>
  <dcterms:created xsi:type="dcterms:W3CDTF">1997-12-04T19:04:30Z</dcterms:created>
  <dcterms:modified xsi:type="dcterms:W3CDTF">2017-11-29T17:28:31Z</dcterms:modified>
</cp:coreProperties>
</file>