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C19" i="10" s="1"/>
  <c r="L286" i="1"/>
  <c r="C20" i="10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2" i="10"/>
  <c r="C13" i="10"/>
  <c r="C15" i="10"/>
  <c r="C21" i="10"/>
  <c r="L250" i="1"/>
  <c r="L332" i="1"/>
  <c r="L254" i="1"/>
  <c r="L268" i="1"/>
  <c r="L269" i="1"/>
  <c r="L349" i="1"/>
  <c r="L350" i="1"/>
  <c r="I665" i="1"/>
  <c r="I670" i="1"/>
  <c r="L229" i="1"/>
  <c r="L247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E120" i="2"/>
  <c r="E121" i="2"/>
  <c r="C122" i="2"/>
  <c r="E122" i="2"/>
  <c r="C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I408" i="1" s="1"/>
  <c r="F407" i="1"/>
  <c r="G407" i="1"/>
  <c r="H407" i="1"/>
  <c r="I407" i="1"/>
  <c r="F408" i="1"/>
  <c r="H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I470" i="1"/>
  <c r="J470" i="1"/>
  <c r="F474" i="1"/>
  <c r="G474" i="1"/>
  <c r="G476" i="1" s="1"/>
  <c r="H623" i="1" s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41" i="1"/>
  <c r="H641" i="1"/>
  <c r="G643" i="1"/>
  <c r="H643" i="1"/>
  <c r="G644" i="1"/>
  <c r="H644" i="1"/>
  <c r="J644" i="1" s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F192" i="1"/>
  <c r="C18" i="2"/>
  <c r="C26" i="10"/>
  <c r="L328" i="1"/>
  <c r="H660" i="1" s="1"/>
  <c r="L351" i="1"/>
  <c r="I662" i="1"/>
  <c r="L290" i="1"/>
  <c r="A31" i="12"/>
  <c r="D62" i="2"/>
  <c r="D63" i="2" s="1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D31" i="2"/>
  <c r="D50" i="2"/>
  <c r="G157" i="2"/>
  <c r="F18" i="2"/>
  <c r="G161" i="2"/>
  <c r="E103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J571" i="1"/>
  <c r="K571" i="1"/>
  <c r="L433" i="1"/>
  <c r="L419" i="1"/>
  <c r="D81" i="2"/>
  <c r="I169" i="1"/>
  <c r="G552" i="1"/>
  <c r="J643" i="1"/>
  <c r="F476" i="1"/>
  <c r="H622" i="1" s="1"/>
  <c r="J622" i="1" s="1"/>
  <c r="I476" i="1"/>
  <c r="H625" i="1" s="1"/>
  <c r="J625" i="1" s="1"/>
  <c r="G338" i="1"/>
  <c r="G352" i="1" s="1"/>
  <c r="F169" i="1"/>
  <c r="J140" i="1"/>
  <c r="I552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F22" i="13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F552" i="1"/>
  <c r="C35" i="10"/>
  <c r="L309" i="1"/>
  <c r="E16" i="13"/>
  <c r="E33" i="13" s="1"/>
  <c r="D35" i="13" s="1"/>
  <c r="L570" i="1"/>
  <c r="I571" i="1"/>
  <c r="I545" i="1"/>
  <c r="J636" i="1"/>
  <c r="G36" i="2"/>
  <c r="G545" i="1"/>
  <c r="L545" i="1"/>
  <c r="K551" i="1"/>
  <c r="C22" i="13"/>
  <c r="C16" i="13"/>
  <c r="H33" i="13"/>
  <c r="A40" i="12" l="1"/>
  <c r="J640" i="1"/>
  <c r="I460" i="1"/>
  <c r="I461" i="1" s="1"/>
  <c r="H642" i="1" s="1"/>
  <c r="J639" i="1"/>
  <c r="J476" i="1"/>
  <c r="H626" i="1" s="1"/>
  <c r="H545" i="1"/>
  <c r="K549" i="1"/>
  <c r="K552" i="1" s="1"/>
  <c r="K503" i="1"/>
  <c r="I446" i="1"/>
  <c r="G642" i="1" s="1"/>
  <c r="I661" i="1"/>
  <c r="D145" i="2"/>
  <c r="G661" i="1"/>
  <c r="L362" i="1"/>
  <c r="C27" i="10" s="1"/>
  <c r="C28" i="10" s="1"/>
  <c r="D29" i="13"/>
  <c r="C29" i="13" s="1"/>
  <c r="H664" i="1"/>
  <c r="H672" i="1" s="1"/>
  <c r="C6" i="10" s="1"/>
  <c r="J338" i="1"/>
  <c r="J352" i="1" s="1"/>
  <c r="E123" i="2"/>
  <c r="E128" i="2" s="1"/>
  <c r="K338" i="1"/>
  <c r="K352" i="1" s="1"/>
  <c r="C16" i="10"/>
  <c r="E115" i="2"/>
  <c r="C132" i="2"/>
  <c r="H257" i="1"/>
  <c r="H271" i="1" s="1"/>
  <c r="D12" i="13"/>
  <c r="C12" i="13" s="1"/>
  <c r="C121" i="2"/>
  <c r="C120" i="2"/>
  <c r="C119" i="2"/>
  <c r="C109" i="2"/>
  <c r="C115" i="2" s="1"/>
  <c r="D5" i="13"/>
  <c r="C5" i="13" s="1"/>
  <c r="L211" i="1"/>
  <c r="L257" i="1" s="1"/>
  <c r="L271" i="1" s="1"/>
  <c r="G632" i="1" s="1"/>
  <c r="J632" i="1" s="1"/>
  <c r="G645" i="1"/>
  <c r="J645" i="1" s="1"/>
  <c r="C81" i="2"/>
  <c r="C62" i="2"/>
  <c r="C63" i="2"/>
  <c r="J624" i="1"/>
  <c r="H52" i="1"/>
  <c r="H619" i="1" s="1"/>
  <c r="J619" i="1" s="1"/>
  <c r="J623" i="1"/>
  <c r="D18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G635" i="1"/>
  <c r="J635" i="1" s="1"/>
  <c r="J642" i="1" l="1"/>
  <c r="H646" i="1"/>
  <c r="J646" i="1" s="1"/>
  <c r="E145" i="2"/>
  <c r="D31" i="13"/>
  <c r="C31" i="13" s="1"/>
  <c r="C128" i="2"/>
  <c r="C145" i="2" s="1"/>
  <c r="F660" i="1"/>
  <c r="G104" i="2"/>
  <c r="C104" i="2"/>
  <c r="G672" i="1"/>
  <c r="C5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33" i="13" l="1"/>
  <c r="D36" i="13" s="1"/>
  <c r="F664" i="1"/>
  <c r="I660" i="1"/>
  <c r="I664" i="1" s="1"/>
  <c r="I672" i="1" s="1"/>
  <c r="C7" i="10" s="1"/>
  <c r="H656" i="1"/>
  <c r="D28" i="10"/>
  <c r="C41" i="10"/>
  <c r="D38" i="10" s="1"/>
  <c r="F672" i="1" l="1"/>
  <c r="C4" i="10" s="1"/>
  <c r="F667" i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<sst xmlns="http://schemas.openxmlformats.org/spreadsheetml/2006/main" count="3957" uniqueCount="915">
  <si>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</si>
  <si>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</si>
  <si>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</si>
  <si>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</si>
  <si>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</si>
  <si>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</si>
  <si>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</si>
  <si>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</si>
  <si>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</si>
  <si>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</si>
  <si>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</si>
  <si>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</si>
  <si>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</si>
  <si>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</si>
  <si>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</si>
  <si>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</si>
  <si>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</si>
  <si>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</si>
  <si>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</si>
  <si>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</si>
  <si>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</si>
  <si>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</si>
  <si>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</si>
  <si>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</si>
  <si>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</si>
  <si>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</si>
  <si>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</si>
  <si>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</si>
  <si>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</si>
  <si>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</si>
  <si>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</si>
  <si>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</si>
  <si>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</si>
  <si>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</si>
  <si>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</si>
  <si>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</si>
  <si>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</si>
  <si>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</si>
  <si>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</si>
  <si>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</si>
  <si>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</si>
  <si>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</si>
  <si>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</si>
  <si>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</si>
  <si>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</si>
  <si>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</si>
  <si>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</si>
  <si>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</si>
  <si>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</si>
  <si>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</si>
  <si>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</si>
  <si>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</si>
  <si>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</si>
  <si>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</si>
  <si>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</si>
  <si>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</si>
  <si>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</si>
  <si>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</si>
  <si>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</si>
  <si>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</si>
  <si>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</si>
  <si>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</si>
  <si>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</si>
  <si>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</si>
  <si>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</si>
  <si>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</si>
  <si>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</si>
  <si>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</si>
  <si>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</si>
  <si>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</si>
  <si>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</si>
  <si>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</si>
  <si>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</si>
  <si>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</si>
  <si>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</si>
  <si>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</si>
  <si>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</si>
  <si>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</si>
  <si>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</si>
  <si>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</si>
  <si>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</si>
  <si>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</si>
  <si>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</si>
  <si>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</si>
  <si>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</si>
  <si>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</si>
  <si>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</si>
  <si>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</si>
  <si>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</si>
  <si>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</si>
  <si>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</si>
  <si>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</si>
  <si>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</si>
  <si>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</si>
  <si>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</si>
  <si>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</si>
  <si>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</si>
  <si>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</si>
  <si>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</si>
  <si>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</si>
  <si>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</si>
  <si>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</si>
  <si>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</si>
  <si>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</si>
  <si>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</si>
  <si>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</si>
  <si>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</si>
  <si>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</si>
  <si>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</si>
  <si>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</si>
  <si>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</si>
  <si>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</si>
  <si>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</si>
  <si>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</si>
  <si>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</si>
  <si>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</si>
  <si>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</si>
  <si>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</si>
  <si>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</si>
  <si>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</si>
  <si>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</si>
  <si>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</si>
  <si>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</si>
  <si>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</si>
  <si>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</si>
  <si>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</si>
  <si>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</si>
  <si>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</si>
  <si>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</si>
  <si>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</si>
  <si>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</si>
  <si>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</si>
  <si>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</si>
  <si>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</si>
  <si>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</si>
  <si>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</si>
  <si>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</si>
  <si>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</si>
  <si>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</si>
  <si>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</si>
  <si>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</si>
  <si>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</si>
  <si>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</si>
  <si>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</si>
  <si>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</si>
  <si>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</si>
  <si>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</si>
  <si>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</si>
  <si>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</si>
  <si>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</si>
  <si>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</si>
  <si>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</si>
  <si>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</si>
  <si>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</si>
  <si>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</si>
  <si>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</si>
  <si>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</si>
  <si>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</si>
  <si>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</si>
  <si>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</si>
  <si>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</si>
  <si>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</si>
  <si>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</si>
  <si>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</si>
  <si>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</si>
  <si>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</si>
  <si>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</si>
  <si>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</si>
  <si>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</si>
  <si>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</si>
  <si>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</si>
  <si>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</si>
  <si>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</si>
  <si>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</si>
  <si>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</si>
  <si>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</si>
  <si>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</si>
  <si>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</si>
  <si>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</si>
  <si>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</si>
  <si>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</si>
  <si>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</si>
  <si>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</si>
  <si>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</si>
  <si>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</si>
  <si>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</si>
  <si>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</si>
  <si>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</si>
  <si>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</si>
  <si>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</si>
  <si>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</si>
  <si>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</si>
  <si>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</si>
  <si>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</si>
  <si>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</si>
  <si>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</si>
  <si>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</si>
  <si>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</si>
  <si>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</si>
  <si>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</si>
  <si>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</si>
  <si>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</si>
  <si>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</si>
  <si>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</si>
  <si>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</si>
  <si>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</si>
  <si>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</si>
  <si>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</si>
  <si>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</si>
  <si>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</si>
  <si>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</si>
  <si>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</si>
  <si>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</si>
  <si>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</si>
  <si>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</si>
  <si>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</si>
  <si>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</si>
  <si>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</si>
  <si>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</si>
  <si>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</si>
  <si>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</si>
  <si>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</si>
  <si>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</si>
  <si>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</si>
  <si>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</si>
  <si>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</si>
  <si>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</si>
  <si>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</si>
  <si>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</si>
  <si>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</si>
  <si>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</si>
  <si>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</si>
  <si>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</si>
  <si>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</si>
  <si>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</si>
  <si>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</si>
  <si>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</si>
  <si>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</si>
  <si>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</si>
  <si>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</si>
  <si>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</si>
  <si>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</si>
  <si>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</si>
  <si>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</si>
  <si>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</si>
  <si>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</si>
  <si>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</si>
  <si>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</si>
  <si>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</si>
  <si>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</si>
  <si>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</si>
  <si>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</si>
  <si>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</si>
  <si>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</si>
  <si>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</si>
  <si>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</si>
  <si>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</si>
  <si>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</si>
  <si>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</si>
  <si>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</si>
  <si>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</si>
  <si>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</si>
  <si>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</si>
  <si>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</si>
  <si>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</si>
  <si>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</si>
  <si>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</si>
  <si>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</si>
  <si>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</si>
  <si>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</si>
  <si>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</si>
  <si>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</si>
  <si>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</si>
  <si>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</si>
  <si>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</si>
  <si>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</si>
  <si>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</si>
  <si>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</si>
  <si>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</si>
  <si>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</si>
  <si>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</si>
  <si>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</si>
  <si>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</si>
  <si>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</si>
  <si>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</si>
  <si>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</si>
  <si>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</si>
  <si>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</si>
  <si>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</si>
  <si>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</si>
  <si>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</si>
  <si>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</si>
  <si>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</si>
  <si>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</si>
  <si>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</si>
  <si>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</si>
  <si>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</si>
  <si>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</si>
  <si>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</si>
  <si>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</si>
  <si>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</si>
  <si>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</si>
  <si>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</si>
  <si>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</si>
  <si>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</si>
  <si>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</si>
  <si>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</si>
  <si>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</si>
  <si>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</si>
  <si>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</si>
  <si>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</si>
  <si>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</si>
  <si>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</si>
  <si>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</si>
  <si>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</si>
  <si>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</si>
  <si>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</si>
  <si>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</si>
  <si>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</si>
  <si>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</si>
  <si>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</si>
  <si>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</si>
  <si>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</si>
  <si>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</si>
  <si>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</si>
  <si>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</si>
  <si>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</si>
  <si>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</si>
  <si>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</si>
  <si>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</si>
  <si>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</si>
  <si>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</si>
  <si>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</si>
  <si>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</si>
  <si>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</si>
  <si>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</si>
  <si>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</si>
  <si>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</si>
  <si>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</si>
  <si>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</si>
  <si>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</si>
  <si>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</si>
  <si>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</si>
  <si>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</si>
  <si>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</si>
  <si>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</si>
  <si>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</si>
  <si>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</si>
  <si>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</si>
  <si>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</si>
  <si>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</si>
  <si>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</si>
  <si>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</si>
  <si>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</si>
  <si>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</si>
  <si>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</si>
  <si>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</si>
  <si>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</si>
  <si>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</si>
  <si>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</si>
  <si>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</si>
  <si>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</si>
  <si>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</si>
  <si>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</si>
  <si>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</si>
  <si>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</si>
  <si>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</si>
  <si>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</si>
  <si>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</si>
  <si>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</si>
  <si>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</si>
  <si>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</si>
  <si>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</si>
  <si>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</si>
  <si>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</si>
  <si>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</si>
  <si>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</si>
  <si>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</si>
  <si>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</si>
  <si>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</si>
  <si>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</si>
  <si>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</si>
  <si>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</si>
  <si>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</si>
  <si>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</si>
  <si>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</si>
  <si>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</si>
  <si>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</si>
  <si>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</si>
  <si>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</si>
  <si>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</si>
  <si>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</si>
  <si>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</si>
  <si>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</si>
  <si>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</si>
  <si>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</si>
  <si>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</si>
  <si>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</si>
  <si>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</si>
  <si>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</si>
  <si>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</si>
  <si>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</si>
  <si>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</si>
  <si>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</si>
  <si>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</si>
  <si>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</si>
  <si>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</si>
  <si>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</si>
  <si>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</si>
  <si>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</si>
  <si>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</si>
  <si>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</si>
  <si>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</si>
  <si>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</si>
  <si>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</si>
  <si>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</si>
  <si>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</si>
  <si>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</si>
  <si>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</si>
  <si>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</si>
  <si>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</si>
  <si>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</si>
  <si>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</si>
  <si>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</si>
  <si>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</si>
  <si>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</si>
  <si>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</si>
  <si>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</si>
  <si>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</si>
  <si>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</si>
  <si>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</si>
  <si>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</si>
  <si>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</si>
  <si>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</si>
  <si>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</si>
  <si>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</si>
  <si>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</si>
  <si>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</si>
  <si>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</si>
  <si>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</si>
  <si>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</si>
  <si>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</si>
  <si>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</si>
  <si>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</si>
  <si>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</si>
  <si>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</si>
  <si>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</si>
  <si>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</si>
  <si>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</si>
  <si>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</si>
  <si>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</si>
  <si>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</si>
  <si>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</si>
  <si>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</si>
  <si>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</si>
  <si>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</si>
  <si>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</si>
  <si>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</si>
  <si>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</si>
  <si>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</si>
  <si>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</si>
  <si>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</si>
  <si>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</si>
  <si>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</si>
  <si>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</si>
  <si>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</si>
  <si>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</si>
  <si>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</si>
  <si>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</si>
  <si>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</si>
  <si>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</si>
  <si>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</si>
  <si>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</si>
  <si>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</si>
  <si>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</si>
  <si>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</si>
  <si>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</si>
  <si>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</si>
  <si>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</si>
  <si>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</si>
  <si>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</si>
  <si>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</si>
  <si>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</si>
  <si>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</si>
  <si>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</si>
  <si>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</si>
  <si>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</si>
  <si>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</si>
  <si>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</si>
  <si>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</si>
  <si>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</si>
  <si>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</si>
  <si>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</si>
  <si>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</si>
  <si>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</si>
  <si>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</si>
  <si>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</si>
  <si>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</si>
  <si>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</si>
  <si>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</si>
  <si>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</si>
  <si>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</si>
  <si>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</si>
  <si>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</si>
  <si>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</si>
  <si>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</si>
  <si>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</si>
  <si>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</si>
  <si>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</si>
  <si>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</si>
  <si>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</si>
  <si>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</si>
  <si>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</si>
  <si>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</si>
  <si>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</si>
  <si>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</si>
  <si>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</si>
  <si>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</si>
  <si>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</si>
  <si>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</si>
  <si>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</si>
  <si>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</si>
  <si>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</si>
  <si>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</si>
  <si>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</si>
  <si>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</si>
  <si>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</si>
  <si>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</si>
  <si>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</si>
  <si>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</si>
  <si>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</si>
  <si>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</si>
  <si>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</si>
  <si>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</si>
  <si>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</si>
  <si>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</si>
  <si>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</si>
  <si>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</si>
  <si>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</si>
  <si>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</si>
  <si>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</si>
  <si>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</si>
  <si>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</si>
  <si>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</si>
  <si>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</si>
  <si>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</si>
  <si>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</si>
  <si>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</si>
  <si>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</si>
  <si>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</si>
  <si>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</si>
  <si>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</si>
  <si>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</si>
  <si>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</si>
  <si>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</si>
  <si>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</si>
  <si>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</si>
  <si>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</si>
  <si>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</si>
  <si>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</si>
  <si>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</si>
  <si>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</si>
  <si>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</si>
  <si>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</si>
  <si>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</si>
  <si>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</si>
  <si>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</si>
  <si>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</si>
  <si>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</si>
  <si>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</si>
  <si>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</si>
  <si>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</si>
  <si>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</si>
  <si>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</si>
  <si>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</si>
  <si>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</si>
  <si>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</si>
  <si>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</si>
  <si>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</si>
  <si>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</si>
  <si>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</si>
  <si>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</si>
  <si>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</si>
  <si>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</si>
  <si>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</si>
  <si>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</si>
  <si>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</si>
  <si>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</si>
  <si>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</si>
  <si>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</si>
  <si>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</si>
  <si>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</si>
  <si>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</si>
  <si>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</si>
  <si>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</si>
  <si>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</si>
  <si>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</si>
  <si>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</si>
  <si>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</si>
  <si>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</si>
  <si>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</si>
  <si>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</si>
  <si>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</si>
  <si>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</si>
  <si>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</si>
  <si>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</si>
  <si>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</si>
  <si>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</si>
  <si>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</si>
  <si>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</si>
  <si>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</si>
  <si>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</si>
  <si>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</si>
  <si>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</si>
  <si>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</si>
  <si>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</si>
  <si>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</si>
  <si>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</si>
  <si>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</si>
  <si>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</si>
  <si>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</si>
  <si>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</si>
  <si>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</si>
  <si>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</si>
  <si>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</si>
  <si>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</si>
  <si>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</si>
  <si>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</si>
  <si>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</si>
  <si>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</si>
  <si>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</si>
  <si>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</si>
  <si>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</si>
  <si>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</si>
  <si>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</si>
  <si>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</si>
  <si>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</si>
  <si>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</si>
  <si>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</si>
  <si>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</si>
  <si>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</si>
  <si>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</si>
  <si>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</si>
  <si>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</si>
  <si>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</si>
  <si>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</si>
  <si>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</si>
  <si>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</si>
  <si>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</si>
  <si>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</si>
  <si>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</si>
  <si>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</si>
  <si>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</si>
  <si>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</si>
  <si>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</si>
  <si>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</si>
  <si>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</si>
  <si>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</si>
  <si>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</si>
  <si>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</si>
  <si>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</si>
  <si>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</si>
  <si>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</si>
  <si>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</si>
  <si>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</si>
  <si>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</si>
  <si>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</si>
  <si>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</si>
  <si>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</si>
  <si>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</si>
  <si>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</si>
  <si>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</si>
  <si>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</si>
  <si>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</si>
  <si>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</si>
  <si>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</si>
  <si>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</si>
  <si>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</si>
  <si>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</si>
  <si>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</si>
  <si>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</si>
  <si>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</si>
  <si>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</si>
  <si>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</si>
  <si>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</si>
  <si>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</si>
  <si>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</si>
  <si>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</si>
  <si>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</si>
  <si>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</si>
  <si>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</si>
  <si>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</si>
  <si>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</si>
  <si>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</si>
  <si>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</si>
  <si>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</si>
  <si>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</si>
  <si>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</si>
  <si>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</si>
  <si>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</si>
  <si>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</si>
  <si>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</si>
  <si>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</si>
  <si>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</si>
  <si>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</si>
  <si>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</si>
  <si>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</si>
  <si>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</si>
  <si>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</si>
  <si>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</si>
  <si>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</si>
  <si>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</si>
  <si>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</si>
  <si>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</si>
  <si>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</si>
  <si>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</si>
  <si>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</si>
  <si>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</si>
  <si>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</si>
  <si>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</si>
  <si>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</si>
  <si>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</si>
  <si>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</si>
  <si>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</si>
  <si>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</si>
  <si>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</si>
  <si>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</si>
  <si>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</si>
  <si>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</si>
  <si>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</si>
  <si>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</si>
  <si>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</si>
  <si>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</si>
  <si>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</si>
  <si>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</si>
  <si>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</si>
  <si>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</si>
  <si>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</si>
  <si>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</si>
  <si>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</si>
  <si>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</si>
  <si>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</si>
  <si>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</si>
  <si>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</si>
  <si>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</si>
  <si>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</si>
  <si>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</si>
  <si>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</si>
  <si>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</si>
  <si>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</si>
  <si>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</si>
  <si>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</si>
  <si>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</si>
  <si>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</si>
  <si>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</si>
  <si>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</si>
  <si>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</si>
  <si>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</si>
  <si>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</si>
  <si>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</si>
  <si>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</si>
  <si>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</si>
  <si>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</si>
  <si>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</si>
  <si>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</si>
  <si>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</si>
  <si>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</si>
  <si>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</si>
  <si>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</si>
  <si>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</si>
  <si>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</si>
  <si>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</si>
  <si>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</si>
  <si>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</si>
  <si>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</si>
  <si>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</si>
  <si>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</si>
  <si>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</si>
  <si>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</si>
  <si>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</si>
  <si>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</si>
  <si>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</si>
  <si>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</si>
  <si>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</si>
  <si>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</si>
  <si>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</si>
  <si>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</si>
  <si>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</si>
  <si>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</si>
  <si>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</si>
  <si>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</si>
  <si>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</si>
  <si>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</si>
  <si>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</si>
  <si>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</si>
  <si>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</si>
  <si>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</si>
  <si>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</si>
  <si>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</si>
  <si>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</si>
  <si>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</si>
  <si>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</si>
  <si>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</si>
  <si>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</si>
  <si>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</si>
  <si>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</si>
  <si>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</si>
  <si>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</si>
  <si>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</si>
  <si>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</si>
  <si>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</si>
  <si>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</si>
  <si>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</si>
  <si>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</si>
  <si>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</si>
  <si>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</si>
  <si>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</si>
  <si>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</si>
  <si>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</si>
  <si>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</si>
  <si>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</si>
  <si>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</si>
  <si>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</si>
  <si>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</si>
  <si>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</si>
  <si>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</si>
  <si>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</si>
  <si>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</si>
  <si>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</si>
  <si>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</si>
  <si>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</si>
  <si>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</si>
  <si>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</si>
  <si>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</si>
  <si>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</si>
  <si>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</si>
  <si>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</si>
  <si>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</si>
  <si>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</si>
  <si>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</si>
  <si>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</si>
  <si>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</si>
  <si>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</si>
  <si>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</si>
  <si>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</si>
  <si>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</si>
  <si>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</si>
  <si>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</si>
  <si>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</si>
  <si>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</si>
  <si>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</si>
  <si>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</si>
  <si>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</si>
  <si>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</si>
  <si>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</si>
  <si>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</si>
  <si>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</si>
  <si>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</si>
  <si>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</si>
  <si>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</si>
  <si>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</si>
  <si>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</si>
  <si>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</si>
  <si>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</si>
  <si>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</si>
  <si>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</si>
  <si>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</si>
  <si>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</si>
  <si>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</si>
  <si>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</si>
  <si>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</si>
  <si>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</si>
  <si>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</si>
  <si>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</si>
  <si>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</si>
  <si>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</si>
  <si>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</si>
  <si>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</si>
  <si>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</si>
  <si>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</si>
  <si>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</si>
  <si>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</si>
  <si>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</si>
  <si>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</si>
  <si>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</si>
  <si>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</si>
  <si>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</si>
  <si>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</si>
  <si>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</si>
  <si>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</si>
  <si>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</si>
  <si>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</si>
  <si>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</si>
  <si>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</si>
  <si>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</si>
  <si>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</si>
  <si>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</si>
  <si>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</si>
  <si>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</si>
  <si>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</si>
  <si>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</si>
  <si>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</si>
  <si>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</si>
  <si>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</si>
  <si>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</si>
  <si>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</si>
  <si>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</si>
  <si>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</si>
  <si>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</si>
  <si>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</si>
  <si>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</si>
  <si>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</si>
  <si>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HOLDERNESS SCHOOL DISTRICT</t>
  </si>
  <si>
    <t>07/07</t>
  </si>
  <si>
    <t>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</si>
</sst>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49" sqref="F4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257</v>
      </c>
      <c r="C2" s="21">
        <v>257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497669.48</v>
      </c>
      <c r="G9" s="18">
        <v>2220.9</v>
      </c>
      <c r="H9" s="18">
        <v>-9704.0300000000007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222365.41999999998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2434.08</v>
      </c>
      <c r="G13" s="18">
        <v>4682.5</v>
      </c>
      <c r="H13" s="18">
        <v>11422.25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625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6444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507172.56</v>
      </c>
      <c r="G19" s="41">
        <f>SUM(G9:G18)</f>
        <v>6903.4</v>
      </c>
      <c r="H19" s="41">
        <f>SUM(H9:H18)</f>
        <v>1718.2199999999993</v>
      </c>
      <c r="I19" s="41">
        <f>SUM(I9:I18)</f>
        <v>0</v>
      </c>
      <c r="J19" s="41">
        <f>SUM(J9:J18)</f>
        <v>222365.41999999998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52108.22</v>
      </c>
      <c r="G24" s="18">
        <v>4161.75</v>
      </c>
      <c r="H24" s="18">
        <v>1713.91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52108.22</v>
      </c>
      <c r="G32" s="41">
        <f>SUM(G22:G31)</f>
        <v>4161.75</v>
      </c>
      <c r="H32" s="41">
        <f>SUM(H22:H31)</f>
        <v>1713.91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228250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105044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2741.65</v>
      </c>
      <c r="H48" s="18">
        <v>4.3099999999999996</v>
      </c>
      <c r="I48" s="18"/>
      <c r="J48" s="13">
        <f>SUM(I459)</f>
        <v>222365.41999999998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91770.34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455064.33999999997</v>
      </c>
      <c r="G51" s="41">
        <f>SUM(G35:G50)</f>
        <v>2741.65</v>
      </c>
      <c r="H51" s="41">
        <f>SUM(H35:H50)</f>
        <v>4.3099999999999996</v>
      </c>
      <c r="I51" s="41">
        <f>SUM(I35:I50)</f>
        <v>0</v>
      </c>
      <c r="J51" s="41">
        <f>SUM(J35:J50)</f>
        <v>222365.41999999998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507172.55999999994</v>
      </c>
      <c r="G52" s="41">
        <f>G51+G32</f>
        <v>6903.4</v>
      </c>
      <c r="H52" s="41">
        <f>H51+H32</f>
        <v>1718.22</v>
      </c>
      <c r="I52" s="41">
        <f>I51+I32</f>
        <v>0</v>
      </c>
      <c r="J52" s="41">
        <f>J51+J32</f>
        <v>222365.41999999998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2930671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2930671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45541.29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45541.29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68.83</v>
      </c>
      <c r="G96" s="18"/>
      <c r="H96" s="18"/>
      <c r="I96" s="18"/>
      <c r="J96" s="18">
        <v>1350.88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34597.89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3605.95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19016.509999999998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22691.289999999997</v>
      </c>
      <c r="G111" s="41">
        <f>SUM(G96:G110)</f>
        <v>34597.89</v>
      </c>
      <c r="H111" s="41">
        <f>SUM(H96:H110)</f>
        <v>0</v>
      </c>
      <c r="I111" s="41">
        <f>SUM(I96:I110)</f>
        <v>0</v>
      </c>
      <c r="J111" s="41">
        <f>SUM(J96:J110)</f>
        <v>1350.88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2998903.58</v>
      </c>
      <c r="G112" s="41">
        <f>G60+G111</f>
        <v>34597.89</v>
      </c>
      <c r="H112" s="41">
        <f>H60+H79+H94+H111</f>
        <v>0</v>
      </c>
      <c r="I112" s="41">
        <f>I60+I111</f>
        <v>0</v>
      </c>
      <c r="J112" s="41">
        <f>J60+J111</f>
        <v>1350.88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1082330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1082330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75159.06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28850.65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852.02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104009.70999999999</v>
      </c>
      <c r="G136" s="41">
        <f>SUM(G123:G135)</f>
        <v>852.02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1186339.71</v>
      </c>
      <c r="G140" s="41">
        <f>G121+SUM(G136:G137)</f>
        <v>852.02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37521.39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14213.54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16931.11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32246.46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16931.11</v>
      </c>
      <c r="G162" s="41">
        <f>SUM(G150:G161)</f>
        <v>14213.54</v>
      </c>
      <c r="H162" s="41">
        <f>SUM(H150:H161)</f>
        <v>69767.850000000006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323.75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17254.86</v>
      </c>
      <c r="G169" s="41">
        <f>G147+G162+SUM(G163:G168)</f>
        <v>14213.54</v>
      </c>
      <c r="H169" s="41">
        <f>H147+H162+SUM(H163:H168)</f>
        <v>69767.850000000006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25000</v>
      </c>
      <c r="H179" s="18"/>
      <c r="I179" s="18"/>
      <c r="J179" s="18">
        <v>65000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25000</v>
      </c>
      <c r="H183" s="41">
        <f>SUM(H179:H182)</f>
        <v>0</v>
      </c>
      <c r="I183" s="41">
        <f>SUM(I179:I182)</f>
        <v>0</v>
      </c>
      <c r="J183" s="41">
        <f>SUM(J179:J182)</f>
        <v>65000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146000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146000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146000</v>
      </c>
      <c r="G192" s="41">
        <f>G183+SUM(G188:G191)</f>
        <v>25000</v>
      </c>
      <c r="H192" s="41">
        <f>+H183+SUM(H188:H191)</f>
        <v>0</v>
      </c>
      <c r="I192" s="41">
        <f>I177+I183+SUM(I188:I191)</f>
        <v>0</v>
      </c>
      <c r="J192" s="41">
        <f>J183</f>
        <v>65000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4348498.1500000004</v>
      </c>
      <c r="G193" s="47">
        <f>G112+G140+G169+G192</f>
        <v>74663.45</v>
      </c>
      <c r="H193" s="47">
        <f>H112+H140+H169+H192</f>
        <v>69767.850000000006</v>
      </c>
      <c r="I193" s="47">
        <f>I112+I140+I169+I192</f>
        <v>0</v>
      </c>
      <c r="J193" s="47">
        <f>J112+J140+J192</f>
        <v>66350.880000000005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1066785.57</v>
      </c>
      <c r="G197" s="18">
        <v>475291.29</v>
      </c>
      <c r="H197" s="18">
        <v>1242.43</v>
      </c>
      <c r="I197" s="18">
        <v>42112.29</v>
      </c>
      <c r="J197" s="18">
        <v>280</v>
      </c>
      <c r="K197" s="18">
        <v>614</v>
      </c>
      <c r="L197" s="19">
        <f>SUM(F197:K197)</f>
        <v>1586325.58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239157.06</v>
      </c>
      <c r="G198" s="18">
        <v>102967.53</v>
      </c>
      <c r="H198" s="18">
        <v>218021.22</v>
      </c>
      <c r="I198" s="18">
        <v>140.04</v>
      </c>
      <c r="J198" s="18"/>
      <c r="K198" s="18"/>
      <c r="L198" s="19">
        <f>SUM(F198:K198)</f>
        <v>560285.85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36134.370000000003</v>
      </c>
      <c r="G200" s="18">
        <v>6634.72</v>
      </c>
      <c r="H200" s="18">
        <v>7610</v>
      </c>
      <c r="I200" s="18">
        <v>2375.34</v>
      </c>
      <c r="J200" s="18"/>
      <c r="K200" s="18"/>
      <c r="L200" s="19">
        <f>SUM(F200:K200)</f>
        <v>52754.430000000008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88741.47</v>
      </c>
      <c r="G202" s="18">
        <v>35723.31</v>
      </c>
      <c r="H202" s="18">
        <v>144119.48000000001</v>
      </c>
      <c r="I202" s="18">
        <v>1515.57</v>
      </c>
      <c r="J202" s="18"/>
      <c r="K202" s="18">
        <v>2438.5500000000002</v>
      </c>
      <c r="L202" s="19">
        <f t="shared" ref="L202:L208" si="0">SUM(F202:K202)</f>
        <v>272538.38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74462</v>
      </c>
      <c r="G203" s="18">
        <v>58642.57</v>
      </c>
      <c r="H203" s="18"/>
      <c r="I203" s="18">
        <v>5100.0200000000004</v>
      </c>
      <c r="J203" s="18"/>
      <c r="K203" s="18"/>
      <c r="L203" s="19">
        <f t="shared" si="0"/>
        <v>138204.59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3450</v>
      </c>
      <c r="G204" s="18">
        <v>462.93</v>
      </c>
      <c r="H204" s="18">
        <v>242640.25</v>
      </c>
      <c r="I204" s="18">
        <v>846.09</v>
      </c>
      <c r="J204" s="18"/>
      <c r="K204" s="18">
        <v>2744.32</v>
      </c>
      <c r="L204" s="19">
        <f t="shared" si="0"/>
        <v>250143.59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143218.6</v>
      </c>
      <c r="G205" s="18">
        <v>70545.84</v>
      </c>
      <c r="H205" s="18">
        <v>10250.82</v>
      </c>
      <c r="I205" s="18">
        <v>1493.1</v>
      </c>
      <c r="J205" s="18"/>
      <c r="K205" s="18">
        <v>1178.3800000000001</v>
      </c>
      <c r="L205" s="19">
        <f t="shared" si="0"/>
        <v>226686.74000000002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108272.98</v>
      </c>
      <c r="G207" s="18">
        <v>56398.85</v>
      </c>
      <c r="H207" s="18">
        <v>70293.350000000006</v>
      </c>
      <c r="I207" s="18">
        <v>66776.990000000005</v>
      </c>
      <c r="J207" s="18">
        <v>4999.37</v>
      </c>
      <c r="K207" s="18"/>
      <c r="L207" s="19">
        <f t="shared" si="0"/>
        <v>306741.53999999998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193976.16</v>
      </c>
      <c r="I208" s="18"/>
      <c r="J208" s="18"/>
      <c r="K208" s="18"/>
      <c r="L208" s="19">
        <f t="shared" si="0"/>
        <v>193976.16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1760222.0500000003</v>
      </c>
      <c r="G211" s="41">
        <f t="shared" si="1"/>
        <v>806667.0399999998</v>
      </c>
      <c r="H211" s="41">
        <f t="shared" si="1"/>
        <v>888153.71</v>
      </c>
      <c r="I211" s="41">
        <f t="shared" si="1"/>
        <v>120359.44</v>
      </c>
      <c r="J211" s="41">
        <f t="shared" si="1"/>
        <v>5279.37</v>
      </c>
      <c r="K211" s="41">
        <f t="shared" si="1"/>
        <v>6975.2500000000009</v>
      </c>
      <c r="L211" s="41">
        <f t="shared" si="1"/>
        <v>3587656.8600000003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266204.05</v>
      </c>
      <c r="I255" s="18"/>
      <c r="J255" s="18"/>
      <c r="K255" s="18"/>
      <c r="L255" s="19">
        <f t="shared" si="6"/>
        <v>266204.05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266204.05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266204.05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1760222.0500000003</v>
      </c>
      <c r="G257" s="41">
        <f t="shared" si="8"/>
        <v>806667.0399999998</v>
      </c>
      <c r="H257" s="41">
        <f t="shared" si="8"/>
        <v>1154357.76</v>
      </c>
      <c r="I257" s="41">
        <f t="shared" si="8"/>
        <v>120359.44</v>
      </c>
      <c r="J257" s="41">
        <f t="shared" si="8"/>
        <v>5279.37</v>
      </c>
      <c r="K257" s="41">
        <f t="shared" si="8"/>
        <v>6975.2500000000009</v>
      </c>
      <c r="L257" s="41">
        <f t="shared" si="8"/>
        <v>3853860.91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237107.9</v>
      </c>
      <c r="L260" s="19">
        <f>SUM(F260:K260)</f>
        <v>237107.9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13768.06</v>
      </c>
      <c r="L261" s="19">
        <f>SUM(F261:K261)</f>
        <v>13768.06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25000</v>
      </c>
      <c r="L263" s="19">
        <f>SUM(F263:K263)</f>
        <v>25000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65000</v>
      </c>
      <c r="L266" s="19">
        <f t="shared" si="9"/>
        <v>65000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340875.95999999996</v>
      </c>
      <c r="L270" s="41">
        <f t="shared" si="9"/>
        <v>340875.95999999996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1760222.0500000003</v>
      </c>
      <c r="G271" s="42">
        <f t="shared" si="11"/>
        <v>806667.0399999998</v>
      </c>
      <c r="H271" s="42">
        <f t="shared" si="11"/>
        <v>1154357.76</v>
      </c>
      <c r="I271" s="42">
        <f t="shared" si="11"/>
        <v>120359.44</v>
      </c>
      <c r="J271" s="42">
        <f t="shared" si="11"/>
        <v>5279.37</v>
      </c>
      <c r="K271" s="42">
        <f t="shared" si="11"/>
        <v>347851.20999999996</v>
      </c>
      <c r="L271" s="42">
        <f t="shared" si="11"/>
        <v>4194736.87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17977.43</v>
      </c>
      <c r="G276" s="18">
        <v>8016</v>
      </c>
      <c r="H276" s="18">
        <v>50</v>
      </c>
      <c r="I276" s="18">
        <v>18474.099999999999</v>
      </c>
      <c r="J276" s="18">
        <v>1347.99</v>
      </c>
      <c r="K276" s="18"/>
      <c r="L276" s="19">
        <f>SUM(F276:K276)</f>
        <v>45865.52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>
        <v>7105.97</v>
      </c>
      <c r="J279" s="18"/>
      <c r="K279" s="18"/>
      <c r="L279" s="19">
        <f>SUM(F279:K279)</f>
        <v>7105.97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>
        <v>1690</v>
      </c>
      <c r="H282" s="18"/>
      <c r="I282" s="18"/>
      <c r="J282" s="18"/>
      <c r="K282" s="18"/>
      <c r="L282" s="19">
        <f t="shared" si="12"/>
        <v>1690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1993.47</v>
      </c>
      <c r="G284" s="18"/>
      <c r="H284" s="18"/>
      <c r="I284" s="18">
        <v>1050</v>
      </c>
      <c r="J284" s="18"/>
      <c r="K284" s="18">
        <v>80.31</v>
      </c>
      <c r="L284" s="19">
        <f t="shared" si="12"/>
        <v>3123.78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1350.94</v>
      </c>
      <c r="L285" s="19">
        <f t="shared" si="12"/>
        <v>1350.94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>
        <v>4610</v>
      </c>
      <c r="I286" s="18"/>
      <c r="J286" s="18">
        <v>6017.33</v>
      </c>
      <c r="K286" s="18"/>
      <c r="L286" s="19">
        <f t="shared" si="12"/>
        <v>10627.33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19970.900000000001</v>
      </c>
      <c r="G290" s="42">
        <f t="shared" si="13"/>
        <v>9706</v>
      </c>
      <c r="H290" s="42">
        <f t="shared" si="13"/>
        <v>4660</v>
      </c>
      <c r="I290" s="42">
        <f t="shared" si="13"/>
        <v>26630.07</v>
      </c>
      <c r="J290" s="42">
        <f t="shared" si="13"/>
        <v>7365.32</v>
      </c>
      <c r="K290" s="42">
        <f t="shared" si="13"/>
        <v>1431.25</v>
      </c>
      <c r="L290" s="41">
        <f t="shared" si="13"/>
        <v>69763.539999999994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19970.900000000001</v>
      </c>
      <c r="G338" s="41">
        <f t="shared" si="20"/>
        <v>9706</v>
      </c>
      <c r="H338" s="41">
        <f t="shared" si="20"/>
        <v>4660</v>
      </c>
      <c r="I338" s="41">
        <f t="shared" si="20"/>
        <v>26630.07</v>
      </c>
      <c r="J338" s="41">
        <f t="shared" si="20"/>
        <v>7365.32</v>
      </c>
      <c r="K338" s="41">
        <f t="shared" si="20"/>
        <v>1431.25</v>
      </c>
      <c r="L338" s="41">
        <f t="shared" si="20"/>
        <v>69763.539999999994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19970.900000000001</v>
      </c>
      <c r="G352" s="41">
        <f>G338</f>
        <v>9706</v>
      </c>
      <c r="H352" s="41">
        <f>H338</f>
        <v>4660</v>
      </c>
      <c r="I352" s="41">
        <f>I338</f>
        <v>26630.07</v>
      </c>
      <c r="J352" s="41">
        <f>J338</f>
        <v>7365.32</v>
      </c>
      <c r="K352" s="47">
        <f>K338+K351</f>
        <v>1431.25</v>
      </c>
      <c r="L352" s="41">
        <f>L338+L351</f>
        <v>69763.539999999994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72081</v>
      </c>
      <c r="I358" s="18"/>
      <c r="J358" s="18"/>
      <c r="K358" s="18"/>
      <c r="L358" s="13">
        <f>SUM(F358:K358)</f>
        <v>72081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72081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72081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50000</v>
      </c>
      <c r="H389" s="18">
        <v>554.58000000000004</v>
      </c>
      <c r="I389" s="18"/>
      <c r="J389" s="24" t="s">
        <v>288</v>
      </c>
      <c r="K389" s="24" t="s">
        <v>288</v>
      </c>
      <c r="L389" s="56">
        <f t="shared" si="25"/>
        <v>50554.58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554.58000000000004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50554.58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357.54</v>
      </c>
      <c r="I397" s="18"/>
      <c r="J397" s="24" t="s">
        <v>288</v>
      </c>
      <c r="K397" s="24" t="s">
        <v>288</v>
      </c>
      <c r="L397" s="56">
        <f t="shared" si="26"/>
        <v>357.54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v>15000</v>
      </c>
      <c r="H399" s="18">
        <v>438.76</v>
      </c>
      <c r="I399" s="18"/>
      <c r="J399" s="24" t="s">
        <v>288</v>
      </c>
      <c r="K399" s="24" t="s">
        <v>288</v>
      </c>
      <c r="L399" s="56">
        <f t="shared" si="26"/>
        <v>15438.76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796.3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15796.300000000001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65000</v>
      </c>
      <c r="H408" s="47">
        <f>H393+H401+H407</f>
        <v>1350.88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66350.880000000005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>
        <v>146000</v>
      </c>
      <c r="L415" s="56">
        <f t="shared" si="27"/>
        <v>146000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146000</v>
      </c>
      <c r="L419" s="47">
        <f t="shared" si="28"/>
        <v>146000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146000</v>
      </c>
      <c r="L434" s="47">
        <f t="shared" si="32"/>
        <v>146000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100818.15</v>
      </c>
      <c r="G440" s="18">
        <v>121547.27</v>
      </c>
      <c r="H440" s="18"/>
      <c r="I440" s="56">
        <f t="shared" si="33"/>
        <v>222365.41999999998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100818.15</v>
      </c>
      <c r="G446" s="13">
        <f>SUM(G439:G445)</f>
        <v>121547.27</v>
      </c>
      <c r="H446" s="13">
        <f>SUM(H439:H445)</f>
        <v>0</v>
      </c>
      <c r="I446" s="13">
        <f>SUM(I439:I445)</f>
        <v>222365.41999999998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100818.15</v>
      </c>
      <c r="G459" s="18">
        <v>121547.27</v>
      </c>
      <c r="H459" s="18"/>
      <c r="I459" s="56">
        <f t="shared" si="34"/>
        <v>222365.41999999998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100818.15</v>
      </c>
      <c r="G460" s="83">
        <f>SUM(G454:G459)</f>
        <v>121547.27</v>
      </c>
      <c r="H460" s="83">
        <f>SUM(H454:H459)</f>
        <v>0</v>
      </c>
      <c r="I460" s="83">
        <f>SUM(I454:I459)</f>
        <v>222365.41999999998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100818.15</v>
      </c>
      <c r="G461" s="42">
        <f>G452+G460</f>
        <v>121547.27</v>
      </c>
      <c r="H461" s="42">
        <f>H452+H460</f>
        <v>0</v>
      </c>
      <c r="I461" s="42">
        <f>I452+I460</f>
        <v>222365.41999999998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301303.06</v>
      </c>
      <c r="G465" s="18">
        <v>159.19999999999999</v>
      </c>
      <c r="H465" s="18"/>
      <c r="I465" s="18"/>
      <c r="J465" s="18">
        <v>302014.53999999998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4348498.1500000004</v>
      </c>
      <c r="G468" s="18">
        <v>74663.45</v>
      </c>
      <c r="H468" s="18">
        <v>69767.850000000006</v>
      </c>
      <c r="I468" s="18"/>
      <c r="J468" s="18">
        <v>66350.880000000005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4348498.1500000004</v>
      </c>
      <c r="G470" s="53">
        <f>SUM(G468:G469)</f>
        <v>74663.45</v>
      </c>
      <c r="H470" s="53">
        <f>SUM(H468:H469)</f>
        <v>69767.850000000006</v>
      </c>
      <c r="I470" s="53">
        <f>SUM(I468:I469)</f>
        <v>0</v>
      </c>
      <c r="J470" s="53">
        <f>SUM(J468:J469)</f>
        <v>66350.880000000005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4194736.87</v>
      </c>
      <c r="G472" s="18">
        <v>72081</v>
      </c>
      <c r="H472" s="18">
        <v>69763.539999999994</v>
      </c>
      <c r="I472" s="18"/>
      <c r="J472" s="18">
        <v>146000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4194736.87</v>
      </c>
      <c r="G474" s="53">
        <f>SUM(G472:G473)</f>
        <v>72081</v>
      </c>
      <c r="H474" s="53">
        <f>SUM(H472:H473)</f>
        <v>69763.539999999994</v>
      </c>
      <c r="I474" s="53">
        <f>SUM(I472:I473)</f>
        <v>0</v>
      </c>
      <c r="J474" s="53">
        <f>SUM(J472:J473)</f>
        <v>146000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455064.33999999985</v>
      </c>
      <c r="G476" s="53">
        <f>(G465+G470)- G474</f>
        <v>2741.6499999999942</v>
      </c>
      <c r="H476" s="53">
        <f>(H465+H470)- H474</f>
        <v>4.3100000000122236</v>
      </c>
      <c r="I476" s="53">
        <f>(I465+I470)- I474</f>
        <v>0</v>
      </c>
      <c r="J476" s="53">
        <f>(J465+J470)- J474</f>
        <v>222365.41999999998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2371079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474215.8</v>
      </c>
      <c r="G495" s="18"/>
      <c r="H495" s="18"/>
      <c r="I495" s="18"/>
      <c r="J495" s="18"/>
      <c r="K495" s="53">
        <f>SUM(F495:J495)</f>
        <v>474215.8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237107.9</v>
      </c>
      <c r="G497" s="18"/>
      <c r="H497" s="18"/>
      <c r="I497" s="18"/>
      <c r="J497" s="18"/>
      <c r="K497" s="53">
        <f t="shared" si="35"/>
        <v>237107.9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237107.9</v>
      </c>
      <c r="G498" s="204"/>
      <c r="H498" s="204"/>
      <c r="I498" s="204"/>
      <c r="J498" s="204"/>
      <c r="K498" s="205">
        <f t="shared" si="35"/>
        <v>237107.9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4623.6000000000004</v>
      </c>
      <c r="G499" s="18"/>
      <c r="H499" s="18"/>
      <c r="I499" s="18"/>
      <c r="J499" s="18"/>
      <c r="K499" s="53">
        <f t="shared" si="35"/>
        <v>4623.6000000000004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241731.5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241731.5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237107.9</v>
      </c>
      <c r="G501" s="204"/>
      <c r="H501" s="204"/>
      <c r="I501" s="204"/>
      <c r="J501" s="204"/>
      <c r="K501" s="205">
        <f t="shared" si="35"/>
        <v>237107.9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4623.6000000000004</v>
      </c>
      <c r="G502" s="18"/>
      <c r="H502" s="18"/>
      <c r="I502" s="18"/>
      <c r="J502" s="18"/>
      <c r="K502" s="53">
        <f t="shared" si="35"/>
        <v>4623.6000000000004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241731.5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241731.5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238437.06</v>
      </c>
      <c r="G521" s="18">
        <v>102912.45</v>
      </c>
      <c r="H521" s="18">
        <v>192077.64</v>
      </c>
      <c r="I521" s="18">
        <v>140.04</v>
      </c>
      <c r="J521" s="18"/>
      <c r="K521" s="18"/>
      <c r="L521" s="88">
        <f>SUM(F521:K521)</f>
        <v>533567.19000000006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238437.06</v>
      </c>
      <c r="G524" s="108">
        <f t="shared" ref="G524:L524" si="36">SUM(G521:G523)</f>
        <v>102912.45</v>
      </c>
      <c r="H524" s="108">
        <f t="shared" si="36"/>
        <v>192077.64</v>
      </c>
      <c r="I524" s="108">
        <f t="shared" si="36"/>
        <v>140.04</v>
      </c>
      <c r="J524" s="108">
        <f t="shared" si="36"/>
        <v>0</v>
      </c>
      <c r="K524" s="108">
        <f t="shared" si="36"/>
        <v>0</v>
      </c>
      <c r="L524" s="89">
        <f t="shared" si="36"/>
        <v>533567.19000000006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48693.47</v>
      </c>
      <c r="G526" s="18">
        <v>22223.45</v>
      </c>
      <c r="H526" s="18">
        <v>143604.26999999999</v>
      </c>
      <c r="I526" s="18">
        <v>1289.33</v>
      </c>
      <c r="J526" s="18"/>
      <c r="K526" s="18"/>
      <c r="L526" s="88">
        <f>SUM(F526:K526)</f>
        <v>215810.52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48693.47</v>
      </c>
      <c r="G529" s="89">
        <f t="shared" ref="G529:L529" si="37">SUM(G526:G528)</f>
        <v>22223.45</v>
      </c>
      <c r="H529" s="89">
        <f t="shared" si="37"/>
        <v>143604.26999999999</v>
      </c>
      <c r="I529" s="89">
        <f t="shared" si="37"/>
        <v>1289.33</v>
      </c>
      <c r="J529" s="89">
        <f t="shared" si="37"/>
        <v>0</v>
      </c>
      <c r="K529" s="89">
        <f t="shared" si="37"/>
        <v>0</v>
      </c>
      <c r="L529" s="89">
        <f t="shared" si="37"/>
        <v>215810.52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20814.14</v>
      </c>
      <c r="G531" s="18">
        <v>9996.2900000000009</v>
      </c>
      <c r="H531" s="18">
        <v>277.81</v>
      </c>
      <c r="I531" s="18"/>
      <c r="J531" s="18"/>
      <c r="K531" s="18"/>
      <c r="L531" s="88">
        <f>SUM(F531:K531)</f>
        <v>31088.240000000002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20814.14</v>
      </c>
      <c r="G534" s="89">
        <f t="shared" ref="G534:L534" si="38">SUM(G531:G533)</f>
        <v>9996.2900000000009</v>
      </c>
      <c r="H534" s="89">
        <f t="shared" si="38"/>
        <v>277.81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31088.240000000002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45240.959999999999</v>
      </c>
      <c r="I541" s="18"/>
      <c r="J541" s="18"/>
      <c r="K541" s="18"/>
      <c r="L541" s="88">
        <f>SUM(F541:K541)</f>
        <v>45240.959999999999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45240.959999999999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45240.959999999999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307944.67000000004</v>
      </c>
      <c r="G545" s="89">
        <f t="shared" ref="G545:L545" si="41">G524+G529+G534+G539+G544</f>
        <v>135132.19</v>
      </c>
      <c r="H545" s="89">
        <f t="shared" si="41"/>
        <v>381200.68000000005</v>
      </c>
      <c r="I545" s="89">
        <f t="shared" si="41"/>
        <v>1429.37</v>
      </c>
      <c r="J545" s="89">
        <f t="shared" si="41"/>
        <v>0</v>
      </c>
      <c r="K545" s="89">
        <f t="shared" si="41"/>
        <v>0</v>
      </c>
      <c r="L545" s="89">
        <f t="shared" si="41"/>
        <v>825706.91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533567.19000000006</v>
      </c>
      <c r="G549" s="87">
        <f>L526</f>
        <v>215810.52</v>
      </c>
      <c r="H549" s="87">
        <f>L531</f>
        <v>31088.240000000002</v>
      </c>
      <c r="I549" s="87">
        <f>L536</f>
        <v>0</v>
      </c>
      <c r="J549" s="87">
        <f>L541</f>
        <v>45240.959999999999</v>
      </c>
      <c r="K549" s="87">
        <f>SUM(F549:J549)</f>
        <v>825706.91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533567.19000000006</v>
      </c>
      <c r="G552" s="89">
        <f t="shared" si="42"/>
        <v>215810.52</v>
      </c>
      <c r="H552" s="89">
        <f t="shared" si="42"/>
        <v>31088.240000000002</v>
      </c>
      <c r="I552" s="89">
        <f t="shared" si="42"/>
        <v>0</v>
      </c>
      <c r="J552" s="89">
        <f t="shared" si="42"/>
        <v>45240.959999999999</v>
      </c>
      <c r="K552" s="89">
        <f t="shared" si="42"/>
        <v>825706.91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720</v>
      </c>
      <c r="G562" s="18">
        <v>55.08</v>
      </c>
      <c r="H562" s="18">
        <v>6020.01</v>
      </c>
      <c r="I562" s="18"/>
      <c r="J562" s="18"/>
      <c r="K562" s="18"/>
      <c r="L562" s="88">
        <f>SUM(F562:K562)</f>
        <v>6795.09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720</v>
      </c>
      <c r="G565" s="89">
        <f t="shared" si="44"/>
        <v>55.08</v>
      </c>
      <c r="H565" s="89">
        <f t="shared" si="44"/>
        <v>6020.01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6795.09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720</v>
      </c>
      <c r="G571" s="89">
        <f t="shared" ref="G571:L571" si="46">G560+G565+G570</f>
        <v>55.08</v>
      </c>
      <c r="H571" s="89">
        <f t="shared" si="46"/>
        <v>6020.01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6795.09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68547.740000000005</v>
      </c>
      <c r="G579" s="18"/>
      <c r="H579" s="18"/>
      <c r="I579" s="87">
        <f t="shared" si="47"/>
        <v>68547.740000000005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72322.240000000005</v>
      </c>
      <c r="G583" s="18"/>
      <c r="H583" s="18"/>
      <c r="I583" s="87">
        <f t="shared" si="47"/>
        <v>72322.240000000005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137976.57999999999</v>
      </c>
      <c r="I591" s="18"/>
      <c r="J591" s="18"/>
      <c r="K591" s="104">
        <f t="shared" ref="K591:K597" si="48">SUM(H591:J591)</f>
        <v>137976.57999999999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45240.959999999999</v>
      </c>
      <c r="I592" s="18"/>
      <c r="J592" s="18"/>
      <c r="K592" s="104">
        <f t="shared" si="48"/>
        <v>45240.959999999999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3140</v>
      </c>
      <c r="I594" s="18"/>
      <c r="J594" s="18"/>
      <c r="K594" s="104">
        <f t="shared" si="48"/>
        <v>3140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7618.62</v>
      </c>
      <c r="I595" s="18"/>
      <c r="J595" s="18"/>
      <c r="K595" s="104">
        <f t="shared" si="48"/>
        <v>7618.62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193976.15999999997</v>
      </c>
      <c r="I598" s="108">
        <f>SUM(I591:I597)</f>
        <v>0</v>
      </c>
      <c r="J598" s="108">
        <f>SUM(J591:J597)</f>
        <v>0</v>
      </c>
      <c r="K598" s="108">
        <f>SUM(K591:K597)</f>
        <v>193976.15999999997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12644.69</v>
      </c>
      <c r="I604" s="18"/>
      <c r="J604" s="18"/>
      <c r="K604" s="104">
        <f>SUM(H604:J604)</f>
        <v>12644.69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12644.69</v>
      </c>
      <c r="I605" s="108">
        <f>SUM(I602:I604)</f>
        <v>0</v>
      </c>
      <c r="J605" s="108">
        <f>SUM(J602:J604)</f>
        <v>0</v>
      </c>
      <c r="K605" s="108">
        <f>SUM(K602:K604)</f>
        <v>12644.69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507172.56</v>
      </c>
      <c r="H617" s="109">
        <f>SUM(F52)</f>
        <v>507172.55999999994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6903.4</v>
      </c>
      <c r="H618" s="109">
        <f>SUM(G52)</f>
        <v>6903.4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1718.2199999999993</v>
      </c>
      <c r="H619" s="109">
        <f>SUM(H52)</f>
        <v>1718.22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222365.41999999998</v>
      </c>
      <c r="H621" s="109">
        <f>SUM(J52)</f>
        <v>222365.41999999998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455064.33999999997</v>
      </c>
      <c r="H622" s="109">
        <f>F476</f>
        <v>455064.33999999985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2741.65</v>
      </c>
      <c r="H623" s="109">
        <f>G476</f>
        <v>2741.6499999999942</v>
      </c>
      <c r="I623" s="121" t="s">
        <v>102</v>
      </c>
      <c r="J623" s="109">
        <f t="shared" si="50"/>
        <v>5.9117155615240335E-12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4.3099999999999996</v>
      </c>
      <c r="H624" s="109">
        <f>H476</f>
        <v>4.3100000000122236</v>
      </c>
      <c r="I624" s="121" t="s">
        <v>103</v>
      </c>
      <c r="J624" s="109">
        <f t="shared" si="50"/>
        <v>-1.2223999590332824E-11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222365.41999999998</v>
      </c>
      <c r="H626" s="109">
        <f>J476</f>
        <v>222365.41999999998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4348498.1500000004</v>
      </c>
      <c r="H627" s="104">
        <f>SUM(F468)</f>
        <v>4348498.1500000004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74663.45</v>
      </c>
      <c r="H628" s="104">
        <f>SUM(G468)</f>
        <v>74663.45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69767.850000000006</v>
      </c>
      <c r="H629" s="104">
        <f>SUM(H468)</f>
        <v>69767.850000000006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66350.880000000005</v>
      </c>
      <c r="H631" s="104">
        <f>SUM(J468)</f>
        <v>66350.880000000005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4194736.87</v>
      </c>
      <c r="H632" s="104">
        <f>SUM(F472)</f>
        <v>4194736.87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69763.539999999994</v>
      </c>
      <c r="H633" s="104">
        <f>SUM(H472)</f>
        <v>69763.539999999994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72081</v>
      </c>
      <c r="H635" s="104">
        <f>SUM(G472)</f>
        <v>72081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66350.880000000005</v>
      </c>
      <c r="H637" s="164">
        <f>SUM(J468)</f>
        <v>66350.880000000005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146000</v>
      </c>
      <c r="H638" s="164">
        <f>SUM(J472)</f>
        <v>146000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100818.15</v>
      </c>
      <c r="H639" s="104">
        <f>SUM(F461)</f>
        <v>100818.15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121547.27</v>
      </c>
      <c r="H640" s="104">
        <f>SUM(G461)</f>
        <v>121547.27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222365.41999999998</v>
      </c>
      <c r="H642" s="104">
        <f>SUM(I461)</f>
        <v>222365.41999999998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1350.88</v>
      </c>
      <c r="H644" s="104">
        <f>H408</f>
        <v>1350.88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65000</v>
      </c>
      <c r="H645" s="104">
        <f>G408</f>
        <v>65000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66350.880000000005</v>
      </c>
      <c r="H646" s="104">
        <f>L408</f>
        <v>66350.880000000005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193976.15999999997</v>
      </c>
      <c r="H647" s="104">
        <f>L208+L226+L244</f>
        <v>193976.16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12644.69</v>
      </c>
      <c r="H648" s="104">
        <f>(J257+J338)-(J255+J336)</f>
        <v>12644.689999999999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193976.16</v>
      </c>
      <c r="H649" s="104">
        <f>H598</f>
        <v>193976.15999999997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25000</v>
      </c>
      <c r="H652" s="104">
        <f>K263+K345</f>
        <v>25000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65000</v>
      </c>
      <c r="H655" s="104">
        <f>K266+K347</f>
        <v>65000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3729501.4000000004</v>
      </c>
      <c r="G660" s="19">
        <f>(L229+L309+L359)</f>
        <v>0</v>
      </c>
      <c r="H660" s="19">
        <f>(L247+L328+L360)</f>
        <v>0</v>
      </c>
      <c r="I660" s="19">
        <f>SUM(F660:H660)</f>
        <v>3729501.4000000004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34597.89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34597.89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193976.16</v>
      </c>
      <c r="G662" s="19">
        <f>(L226+L306)-(J226+J306)</f>
        <v>0</v>
      </c>
      <c r="H662" s="19">
        <f>(L244+L325)-(J244+J325)</f>
        <v>0</v>
      </c>
      <c r="I662" s="19">
        <f>SUM(F662:H662)</f>
        <v>193976.16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153514.67000000001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153514.67000000001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3347412.6800000006</v>
      </c>
      <c r="G664" s="19">
        <f>G660-SUM(G661:G663)</f>
        <v>0</v>
      </c>
      <c r="H664" s="19">
        <f>H660-SUM(H661:H663)</f>
        <v>0</v>
      </c>
      <c r="I664" s="19">
        <f>I660-SUM(I661:I663)</f>
        <v>3347412.6800000006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153.09</v>
      </c>
      <c r="G665" s="248"/>
      <c r="H665" s="248"/>
      <c r="I665" s="19">
        <f>SUM(F665:H665)</f>
        <v>153.09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21865.65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21865.65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21865.65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21865.65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HOLDERNESS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1084763</v>
      </c>
      <c r="C9" s="229">
        <f>'DOE25'!G197+'DOE25'!G215+'DOE25'!G233+'DOE25'!G276+'DOE25'!G295+'DOE25'!G314</f>
        <v>483307.29</v>
      </c>
    </row>
    <row r="10" spans="1:3" x14ac:dyDescent="0.2">
      <c r="A10" t="s">
        <v>778</v>
      </c>
      <c r="B10" s="240">
        <v>1047363.78</v>
      </c>
      <c r="C10" s="240">
        <v>477571.4</v>
      </c>
    </row>
    <row r="11" spans="1:3" x14ac:dyDescent="0.2">
      <c r="A11" t="s">
        <v>779</v>
      </c>
      <c r="B11" s="240">
        <v>19533.22</v>
      </c>
      <c r="C11" s="240">
        <v>4273.24</v>
      </c>
    </row>
    <row r="12" spans="1:3" x14ac:dyDescent="0.2">
      <c r="A12" t="s">
        <v>780</v>
      </c>
      <c r="B12" s="240">
        <v>17866</v>
      </c>
      <c r="C12" s="240">
        <v>1462.65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1084763</v>
      </c>
      <c r="C13" s="231">
        <f>SUM(C10:C12)</f>
        <v>483307.29000000004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239157.06</v>
      </c>
      <c r="C18" s="229">
        <f>'DOE25'!G198+'DOE25'!G216+'DOE25'!G234+'DOE25'!G277+'DOE25'!G296+'DOE25'!G315</f>
        <v>102967.53</v>
      </c>
    </row>
    <row r="19" spans="1:3" x14ac:dyDescent="0.2">
      <c r="A19" t="s">
        <v>778</v>
      </c>
      <c r="B19" s="240">
        <v>135434</v>
      </c>
      <c r="C19" s="240">
        <v>58057.9</v>
      </c>
    </row>
    <row r="20" spans="1:3" x14ac:dyDescent="0.2">
      <c r="A20" t="s">
        <v>779</v>
      </c>
      <c r="B20" s="240">
        <v>103003.06</v>
      </c>
      <c r="C20" s="240">
        <v>44572.34</v>
      </c>
    </row>
    <row r="21" spans="1:3" x14ac:dyDescent="0.2">
      <c r="A21" t="s">
        <v>780</v>
      </c>
      <c r="B21" s="240">
        <v>720</v>
      </c>
      <c r="C21" s="240">
        <v>337.29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239157.06</v>
      </c>
      <c r="C22" s="231">
        <f>SUM(C19:C21)</f>
        <v>102967.52999999998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36134.370000000003</v>
      </c>
      <c r="C36" s="235">
        <f>'DOE25'!G200+'DOE25'!G218+'DOE25'!G236+'DOE25'!G279+'DOE25'!G298+'DOE25'!G317</f>
        <v>6634.72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36134.370000000003</v>
      </c>
      <c r="C39" s="240">
        <v>6634.72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36134.370000000003</v>
      </c>
      <c r="C40" s="231">
        <f>SUM(C37:C39)</f>
        <v>6634.72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HOLDERNESS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2199365.8600000003</v>
      </c>
      <c r="D5" s="20">
        <f>SUM('DOE25'!L197:L200)+SUM('DOE25'!L215:L218)+SUM('DOE25'!L233:L236)-F5-G5</f>
        <v>2198471.8600000003</v>
      </c>
      <c r="E5" s="243"/>
      <c r="F5" s="255">
        <f>SUM('DOE25'!J197:J200)+SUM('DOE25'!J215:J218)+SUM('DOE25'!J233:J236)</f>
        <v>280</v>
      </c>
      <c r="G5" s="53">
        <f>SUM('DOE25'!K197:K200)+SUM('DOE25'!K215:K218)+SUM('DOE25'!K233:K236)</f>
        <v>614</v>
      </c>
      <c r="H5" s="259"/>
    </row>
    <row r="6" spans="1:9" x14ac:dyDescent="0.2">
      <c r="A6" s="32">
        <v>2100</v>
      </c>
      <c r="B6" t="s">
        <v>800</v>
      </c>
      <c r="C6" s="245">
        <f t="shared" si="0"/>
        <v>272538.38</v>
      </c>
      <c r="D6" s="20">
        <f>'DOE25'!L202+'DOE25'!L220+'DOE25'!L238-F6-G6</f>
        <v>270099.83</v>
      </c>
      <c r="E6" s="243"/>
      <c r="F6" s="255">
        <f>'DOE25'!J202+'DOE25'!J220+'DOE25'!J238</f>
        <v>0</v>
      </c>
      <c r="G6" s="53">
        <f>'DOE25'!K202+'DOE25'!K220+'DOE25'!K238</f>
        <v>2438.5500000000002</v>
      </c>
      <c r="H6" s="259"/>
    </row>
    <row r="7" spans="1:9" x14ac:dyDescent="0.2">
      <c r="A7" s="32">
        <v>2200</v>
      </c>
      <c r="B7" t="s">
        <v>833</v>
      </c>
      <c r="C7" s="245">
        <f t="shared" si="0"/>
        <v>138204.59</v>
      </c>
      <c r="D7" s="20">
        <f>'DOE25'!L203+'DOE25'!L221+'DOE25'!L239-F7-G7</f>
        <v>138204.59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145683.35</v>
      </c>
      <c r="D8" s="243"/>
      <c r="E8" s="20">
        <f>'DOE25'!L204+'DOE25'!L222+'DOE25'!L240-F8-G8-D9-D11</f>
        <v>142939.03</v>
      </c>
      <c r="F8" s="255">
        <f>'DOE25'!J204+'DOE25'!J222+'DOE25'!J240</f>
        <v>0</v>
      </c>
      <c r="G8" s="53">
        <f>'DOE25'!K204+'DOE25'!K222+'DOE25'!K240</f>
        <v>2744.32</v>
      </c>
      <c r="H8" s="259"/>
    </row>
    <row r="9" spans="1:9" x14ac:dyDescent="0.2">
      <c r="A9" s="32">
        <v>2310</v>
      </c>
      <c r="B9" t="s">
        <v>817</v>
      </c>
      <c r="C9" s="245">
        <f t="shared" si="0"/>
        <v>13382.59</v>
      </c>
      <c r="D9" s="244">
        <v>13382.59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91077.65</v>
      </c>
      <c r="D11" s="244">
        <v>91077.65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226686.74000000002</v>
      </c>
      <c r="D12" s="20">
        <f>'DOE25'!L205+'DOE25'!L223+'DOE25'!L241-F12-G12</f>
        <v>225508.36000000002</v>
      </c>
      <c r="E12" s="243"/>
      <c r="F12" s="255">
        <f>'DOE25'!J205+'DOE25'!J223+'DOE25'!J241</f>
        <v>0</v>
      </c>
      <c r="G12" s="53">
        <f>'DOE25'!K205+'DOE25'!K223+'DOE25'!K241</f>
        <v>1178.3800000000001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306741.53999999998</v>
      </c>
      <c r="D14" s="20">
        <f>'DOE25'!L207+'DOE25'!L225+'DOE25'!L243-F14-G14</f>
        <v>301742.17</v>
      </c>
      <c r="E14" s="243"/>
      <c r="F14" s="255">
        <f>'DOE25'!J207+'DOE25'!J225+'DOE25'!J243</f>
        <v>4999.37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193976.16</v>
      </c>
      <c r="D15" s="20">
        <f>'DOE25'!L208+'DOE25'!L226+'DOE25'!L244-F15-G15</f>
        <v>193976.16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266204.05</v>
      </c>
      <c r="D22" s="243"/>
      <c r="E22" s="243"/>
      <c r="F22" s="255">
        <f>'DOE25'!L255+'DOE25'!L336</f>
        <v>266204.05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250875.96</v>
      </c>
      <c r="D25" s="243"/>
      <c r="E25" s="243"/>
      <c r="F25" s="258"/>
      <c r="G25" s="256"/>
      <c r="H25" s="257">
        <f>'DOE25'!L260+'DOE25'!L261+'DOE25'!L341+'DOE25'!L342</f>
        <v>250875.96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72081</v>
      </c>
      <c r="D29" s="20">
        <f>'DOE25'!L358+'DOE25'!L359+'DOE25'!L360-'DOE25'!I367-F29-G29</f>
        <v>72081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69763.539999999994</v>
      </c>
      <c r="D31" s="20">
        <f>'DOE25'!L290+'DOE25'!L309+'DOE25'!L328+'DOE25'!L333+'DOE25'!L334+'DOE25'!L335-F31-G31</f>
        <v>60966.969999999994</v>
      </c>
      <c r="E31" s="243"/>
      <c r="F31" s="255">
        <f>'DOE25'!J290+'DOE25'!J309+'DOE25'!J328+'DOE25'!J333+'DOE25'!J334+'DOE25'!J335</f>
        <v>7365.32</v>
      </c>
      <c r="G31" s="53">
        <f>'DOE25'!K290+'DOE25'!K309+'DOE25'!K328+'DOE25'!K333+'DOE25'!K334+'DOE25'!K335</f>
        <v>1431.25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3565511.18</v>
      </c>
      <c r="E33" s="246">
        <f>SUM(E5:E31)</f>
        <v>146939.03</v>
      </c>
      <c r="F33" s="246">
        <f>SUM(F5:F31)</f>
        <v>278848.74</v>
      </c>
      <c r="G33" s="246">
        <f>SUM(G5:G31)</f>
        <v>8406.5</v>
      </c>
      <c r="H33" s="246">
        <f>SUM(H5:H31)</f>
        <v>250875.96</v>
      </c>
    </row>
    <row r="35" spans="2:8" ht="12" thickBot="1" x14ac:dyDescent="0.25">
      <c r="B35" s="253" t="s">
        <v>846</v>
      </c>
      <c r="D35" s="254">
        <f>E33</f>
        <v>146939.03</v>
      </c>
      <c r="E35" s="249"/>
    </row>
    <row r="36" spans="2:8" ht="12" thickTop="1" x14ac:dyDescent="0.2">
      <c r="B36" t="s">
        <v>814</v>
      </c>
      <c r="D36" s="20">
        <f>D33</f>
        <v>3565511.18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3" activePane="bottomLeft" state="frozen"/>
      <selection activeCell="F46" sqref="F46"/>
      <selection pane="bottomLeft" activeCell="A183" sqref="A18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HOLDERNESS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497669.48</v>
      </c>
      <c r="D8" s="95">
        <f>'DOE25'!G9</f>
        <v>2220.9</v>
      </c>
      <c r="E8" s="95">
        <f>'DOE25'!H9</f>
        <v>-9704.0300000000007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222365.41999999998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2434.08</v>
      </c>
      <c r="D12" s="95">
        <f>'DOE25'!G13</f>
        <v>4682.5</v>
      </c>
      <c r="E12" s="95">
        <f>'DOE25'!H13</f>
        <v>11422.25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625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6444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507172.56</v>
      </c>
      <c r="D18" s="41">
        <f>SUM(D8:D17)</f>
        <v>6903.4</v>
      </c>
      <c r="E18" s="41">
        <f>SUM(E8:E17)</f>
        <v>1718.2199999999993</v>
      </c>
      <c r="F18" s="41">
        <f>SUM(F8:F17)</f>
        <v>0</v>
      </c>
      <c r="G18" s="41">
        <f>SUM(G8:G17)</f>
        <v>222365.41999999998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52108.22</v>
      </c>
      <c r="D23" s="95">
        <f>'DOE25'!G24</f>
        <v>4161.75</v>
      </c>
      <c r="E23" s="95">
        <f>'DOE25'!H24</f>
        <v>1713.91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52108.22</v>
      </c>
      <c r="D31" s="41">
        <f>SUM(D21:D30)</f>
        <v>4161.75</v>
      </c>
      <c r="E31" s="41">
        <f>SUM(E21:E30)</f>
        <v>1713.91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228250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105044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2741.65</v>
      </c>
      <c r="E47" s="95">
        <f>'DOE25'!H48</f>
        <v>4.3099999999999996</v>
      </c>
      <c r="F47" s="95">
        <f>'DOE25'!I48</f>
        <v>0</v>
      </c>
      <c r="G47" s="95">
        <f>'DOE25'!J48</f>
        <v>222365.41999999998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91770.34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455064.33999999997</v>
      </c>
      <c r="D50" s="41">
        <f>SUM(D34:D49)</f>
        <v>2741.65</v>
      </c>
      <c r="E50" s="41">
        <f>SUM(E34:E49)</f>
        <v>4.3099999999999996</v>
      </c>
      <c r="F50" s="41">
        <f>SUM(F34:F49)</f>
        <v>0</v>
      </c>
      <c r="G50" s="41">
        <f>SUM(G34:G49)</f>
        <v>222365.41999999998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507172.55999999994</v>
      </c>
      <c r="D51" s="41">
        <f>D50+D31</f>
        <v>6903.4</v>
      </c>
      <c r="E51" s="41">
        <f>E50+E31</f>
        <v>1718.22</v>
      </c>
      <c r="F51" s="41">
        <f>F50+F31</f>
        <v>0</v>
      </c>
      <c r="G51" s="41">
        <f>G50+G31</f>
        <v>222365.41999999998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2930671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45541.29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68.83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1350.88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34597.89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22622.46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68232.58</v>
      </c>
      <c r="D62" s="130">
        <f>SUM(D57:D61)</f>
        <v>34597.89</v>
      </c>
      <c r="E62" s="130">
        <f>SUM(E57:E61)</f>
        <v>0</v>
      </c>
      <c r="F62" s="130">
        <f>SUM(F57:F61)</f>
        <v>0</v>
      </c>
      <c r="G62" s="130">
        <f>SUM(G57:G61)</f>
        <v>1350.88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2998903.58</v>
      </c>
      <c r="D63" s="22">
        <f>D56+D62</f>
        <v>34597.89</v>
      </c>
      <c r="E63" s="22">
        <f>E56+E62</f>
        <v>0</v>
      </c>
      <c r="F63" s="22">
        <f>F56+F62</f>
        <v>0</v>
      </c>
      <c r="G63" s="22">
        <f>G56+G62</f>
        <v>1350.88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1082330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1082330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75159.06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28850.65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852.02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104009.70999999999</v>
      </c>
      <c r="D78" s="130">
        <f>SUM(D72:D77)</f>
        <v>852.02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1186339.71</v>
      </c>
      <c r="D81" s="130">
        <f>SUM(D79:D80)+D78+D70</f>
        <v>852.02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16931.11</v>
      </c>
      <c r="D88" s="95">
        <f>SUM('DOE25'!G153:G161)</f>
        <v>14213.54</v>
      </c>
      <c r="E88" s="95">
        <f>SUM('DOE25'!H153:H161)</f>
        <v>69767.850000000006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323.75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17254.86</v>
      </c>
      <c r="D91" s="131">
        <f>SUM(D85:D90)</f>
        <v>14213.54</v>
      </c>
      <c r="E91" s="131">
        <f>SUM(E85:E90)</f>
        <v>69767.850000000006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25000</v>
      </c>
      <c r="E96" s="95">
        <f>'DOE25'!H179</f>
        <v>0</v>
      </c>
      <c r="F96" s="95">
        <f>'DOE25'!I179</f>
        <v>0</v>
      </c>
      <c r="G96" s="95">
        <f>'DOE25'!J179</f>
        <v>65000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146000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146000</v>
      </c>
      <c r="D103" s="86">
        <f>SUM(D93:D102)</f>
        <v>25000</v>
      </c>
      <c r="E103" s="86">
        <f>SUM(E93:E102)</f>
        <v>0</v>
      </c>
      <c r="F103" s="86">
        <f>SUM(F93:F102)</f>
        <v>0</v>
      </c>
      <c r="G103" s="86">
        <f>SUM(G93:G102)</f>
        <v>65000</v>
      </c>
    </row>
    <row r="104" spans="1:7" ht="12.75" thickTop="1" thickBot="1" x14ac:dyDescent="0.25">
      <c r="A104" s="33" t="s">
        <v>764</v>
      </c>
      <c r="C104" s="86">
        <f>C63+C81+C91+C103</f>
        <v>4348498.1500000004</v>
      </c>
      <c r="D104" s="86">
        <f>D63+D81+D91+D103</f>
        <v>74663.45</v>
      </c>
      <c r="E104" s="86">
        <f>E63+E81+E91+E103</f>
        <v>69767.850000000006</v>
      </c>
      <c r="F104" s="86">
        <f>F63+F81+F91+F103</f>
        <v>0</v>
      </c>
      <c r="G104" s="86">
        <f>G63+G81+G103</f>
        <v>66350.880000000005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1586325.58</v>
      </c>
      <c r="D109" s="24" t="s">
        <v>288</v>
      </c>
      <c r="E109" s="95">
        <f>('DOE25'!L276)+('DOE25'!L295)+('DOE25'!L314)</f>
        <v>45865.52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560285.85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52754.430000000008</v>
      </c>
      <c r="D112" s="24" t="s">
        <v>288</v>
      </c>
      <c r="E112" s="95">
        <f>+('DOE25'!L279)+('DOE25'!L298)+('DOE25'!L317)</f>
        <v>7105.97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2199365.8600000003</v>
      </c>
      <c r="D115" s="86">
        <f>SUM(D109:D114)</f>
        <v>0</v>
      </c>
      <c r="E115" s="86">
        <f>SUM(E109:E114)</f>
        <v>52971.49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272538.38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138204.59</v>
      </c>
      <c r="D119" s="24" t="s">
        <v>288</v>
      </c>
      <c r="E119" s="95">
        <f>+('DOE25'!L282)+('DOE25'!L301)+('DOE25'!L320)</f>
        <v>1690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250143.59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226686.74000000002</v>
      </c>
      <c r="D121" s="24" t="s">
        <v>288</v>
      </c>
      <c r="E121" s="95">
        <f>+('DOE25'!L284)+('DOE25'!L303)+('DOE25'!L322)</f>
        <v>3123.78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1350.94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306741.53999999998</v>
      </c>
      <c r="D123" s="24" t="s">
        <v>288</v>
      </c>
      <c r="E123" s="95">
        <f>+('DOE25'!L286)+('DOE25'!L305)+('DOE25'!L324)</f>
        <v>10627.33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193976.16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72081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1388290.9999999998</v>
      </c>
      <c r="D128" s="86">
        <f>SUM(D118:D127)</f>
        <v>72081</v>
      </c>
      <c r="E128" s="86">
        <f>SUM(E118:E127)</f>
        <v>16792.050000000003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266204.05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237107.9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13768.06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146000</v>
      </c>
    </row>
    <row r="135" spans="1:7" x14ac:dyDescent="0.2">
      <c r="A135" t="s">
        <v>233</v>
      </c>
      <c r="B135" s="32" t="s">
        <v>234</v>
      </c>
      <c r="C135" s="95">
        <f>'DOE25'!L263</f>
        <v>25000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50554.58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15796.300000000001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-1350.8800000000047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607080.01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146000</v>
      </c>
    </row>
    <row r="145" spans="1:9" ht="12.75" thickTop="1" thickBot="1" x14ac:dyDescent="0.25">
      <c r="A145" s="33" t="s">
        <v>244</v>
      </c>
      <c r="C145" s="86">
        <f>(C115+C128+C144)</f>
        <v>4194736.87</v>
      </c>
      <c r="D145" s="86">
        <f>(D115+D128+D144)</f>
        <v>72081</v>
      </c>
      <c r="E145" s="86">
        <f>(E115+E128+E144)</f>
        <v>69763.540000000008</v>
      </c>
      <c r="F145" s="86">
        <f>(F115+F128+F144)</f>
        <v>0</v>
      </c>
      <c r="G145" s="86">
        <f>(G115+G128+G144)</f>
        <v>146000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2371079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474215.8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474215.8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237107.9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237107.9</v>
      </c>
    </row>
    <row r="159" spans="1:9" x14ac:dyDescent="0.2">
      <c r="A159" s="22" t="s">
        <v>35</v>
      </c>
      <c r="B159" s="137">
        <f>'DOE25'!F498</f>
        <v>237107.9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237107.9</v>
      </c>
    </row>
    <row r="160" spans="1:9" x14ac:dyDescent="0.2">
      <c r="A160" s="22" t="s">
        <v>36</v>
      </c>
      <c r="B160" s="137">
        <f>'DOE25'!F499</f>
        <v>4623.6000000000004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4623.6000000000004</v>
      </c>
    </row>
    <row r="161" spans="1:7" x14ac:dyDescent="0.2">
      <c r="A161" s="22" t="s">
        <v>37</v>
      </c>
      <c r="B161" s="137">
        <f>'DOE25'!F500</f>
        <v>241731.5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241731.5</v>
      </c>
    </row>
    <row r="162" spans="1:7" x14ac:dyDescent="0.2">
      <c r="A162" s="22" t="s">
        <v>38</v>
      </c>
      <c r="B162" s="137">
        <f>'DOE25'!F501</f>
        <v>237107.9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237107.9</v>
      </c>
    </row>
    <row r="163" spans="1:7" x14ac:dyDescent="0.2">
      <c r="A163" s="22" t="s">
        <v>39</v>
      </c>
      <c r="B163" s="137">
        <f>'DOE25'!F502</f>
        <v>4623.6000000000004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4623.6000000000004</v>
      </c>
    </row>
    <row r="164" spans="1:7" x14ac:dyDescent="0.2">
      <c r="A164" s="22" t="s">
        <v>246</v>
      </c>
      <c r="B164" s="137">
        <f>'DOE25'!F503</f>
        <v>241731.5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241731.5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HOLDERNESS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21866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21866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1632191</v>
      </c>
      <c r="D10" s="182">
        <f>ROUND((C10/$C$28)*100,1)</f>
        <v>44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560286</v>
      </c>
      <c r="D11" s="182">
        <f>ROUND((C11/$C$28)*100,1)</f>
        <v>15.1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59860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272538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139895</v>
      </c>
      <c r="D16" s="182">
        <f t="shared" si="0"/>
        <v>3.8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250144</v>
      </c>
      <c r="D17" s="182">
        <f t="shared" si="0"/>
        <v>6.7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229811</v>
      </c>
      <c r="D18" s="182">
        <f t="shared" si="0"/>
        <v>6.2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1351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317369</v>
      </c>
      <c r="D20" s="182">
        <f t="shared" si="0"/>
        <v>8.6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193976</v>
      </c>
      <c r="D21" s="182">
        <f t="shared" si="0"/>
        <v>5.2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13768</v>
      </c>
      <c r="D25" s="182">
        <f t="shared" si="0"/>
        <v>0.4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37483.11</v>
      </c>
      <c r="D27" s="182">
        <f t="shared" si="0"/>
        <v>1</v>
      </c>
    </row>
    <row r="28" spans="1:4" x14ac:dyDescent="0.2">
      <c r="B28" s="187" t="s">
        <v>722</v>
      </c>
      <c r="C28" s="180">
        <f>SUM(C10:C27)</f>
        <v>3708672.11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266204</v>
      </c>
    </row>
    <row r="30" spans="1:4" x14ac:dyDescent="0.2">
      <c r="B30" s="187" t="s">
        <v>728</v>
      </c>
      <c r="C30" s="180">
        <f>SUM(C28:C29)</f>
        <v>3974876.11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237108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2930671</v>
      </c>
      <c r="D35" s="182">
        <f t="shared" ref="D35:D40" si="1">ROUND((C35/$C$41)*100,1)</f>
        <v>68.3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69583.459999999963</v>
      </c>
      <c r="D36" s="182">
        <f t="shared" si="1"/>
        <v>1.6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1082330</v>
      </c>
      <c r="D37" s="182">
        <f t="shared" si="1"/>
        <v>25.2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104862</v>
      </c>
      <c r="D38" s="182">
        <f t="shared" si="1"/>
        <v>2.4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101236</v>
      </c>
      <c r="D39" s="182">
        <f t="shared" si="1"/>
        <v>2.4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4288682.46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HOLDERNESS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2017-08-17T12:55:44Z</cp:lastPrinted>
  <dcterms:created xsi:type="dcterms:W3CDTF">1997-12-04T19:04:30Z</dcterms:created>
  <dcterms:modified xsi:type="dcterms:W3CDTF">2017-11-29T17:30:15Z</dcterms:modified>
</cp:coreProperties>
</file>