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C12" i="12" l="1"/>
  <c r="G221" i="1" l="1"/>
  <c r="G239" i="1"/>
  <c r="G220" i="1"/>
  <c r="H223" i="1" l="1"/>
  <c r="J255" i="1" l="1"/>
  <c r="I233" i="1"/>
  <c r="K243" i="1"/>
  <c r="H468" i="1"/>
  <c r="H472" i="1"/>
  <c r="H24" i="1"/>
  <c r="F468" i="1" l="1"/>
  <c r="F28" i="1" l="1"/>
  <c r="F9" i="1" l="1"/>
  <c r="H226" i="1" l="1"/>
  <c r="H218" i="1"/>
  <c r="H244" i="1"/>
  <c r="H236" i="1"/>
  <c r="J522" i="1"/>
  <c r="J523" i="1"/>
  <c r="I523" i="1"/>
  <c r="I522" i="1"/>
  <c r="H522" i="1"/>
  <c r="H523" i="1"/>
  <c r="H528" i="1"/>
  <c r="H527" i="1"/>
  <c r="G533" i="1"/>
  <c r="G532" i="1"/>
  <c r="G528" i="1"/>
  <c r="G527" i="1"/>
  <c r="G523" i="1"/>
  <c r="G522" i="1"/>
  <c r="F523" i="1"/>
  <c r="F522" i="1"/>
  <c r="F528" i="1" l="1"/>
  <c r="F527" i="1"/>
  <c r="H368" i="1"/>
  <c r="H367" i="1"/>
  <c r="G368" i="1"/>
  <c r="G367" i="1"/>
  <c r="I360" i="1"/>
  <c r="H360" i="1"/>
  <c r="F360" i="1"/>
  <c r="I359" i="1"/>
  <c r="H359" i="1"/>
  <c r="G359" i="1"/>
  <c r="F359" i="1"/>
  <c r="J591" i="1" l="1"/>
  <c r="I591" i="1"/>
  <c r="J604" i="1"/>
  <c r="I243" i="1"/>
  <c r="H243" i="1"/>
  <c r="I241" i="1"/>
  <c r="H241" i="1"/>
  <c r="F241" i="1"/>
  <c r="H240" i="1"/>
  <c r="I239" i="1"/>
  <c r="F239" i="1"/>
  <c r="H238" i="1"/>
  <c r="F238" i="1"/>
  <c r="F234" i="1"/>
  <c r="H234" i="1"/>
  <c r="I225" i="1"/>
  <c r="H225" i="1"/>
  <c r="I223" i="1"/>
  <c r="F223" i="1"/>
  <c r="H222" i="1"/>
  <c r="I221" i="1"/>
  <c r="F221" i="1"/>
  <c r="H220" i="1"/>
  <c r="F220" i="1"/>
  <c r="F216" i="1"/>
  <c r="H216" i="1"/>
  <c r="K238" i="1"/>
  <c r="G236" i="1"/>
  <c r="H235" i="1"/>
  <c r="G218" i="1"/>
  <c r="I215" i="1"/>
  <c r="F57" i="1" l="1"/>
  <c r="H502" i="1" l="1"/>
  <c r="K239" i="1" l="1"/>
  <c r="H239" i="1"/>
  <c r="K266" i="1"/>
  <c r="J96" i="1" l="1"/>
  <c r="G442" i="1"/>
  <c r="H320" i="1"/>
  <c r="H315" i="1"/>
  <c r="F315" i="1"/>
  <c r="F314" i="1"/>
  <c r="H301" i="1"/>
  <c r="H155" i="1" l="1"/>
  <c r="H154" i="1"/>
  <c r="H22" i="1"/>
  <c r="G158" i="1"/>
  <c r="G97" i="1"/>
  <c r="G9" i="1" l="1"/>
  <c r="H215" i="1" l="1"/>
  <c r="F101" i="1"/>
  <c r="F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C11" i="10" s="1"/>
  <c r="L217" i="1"/>
  <c r="L218" i="1"/>
  <c r="C112" i="2" s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C16" i="10" s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F664" i="1" s="1"/>
  <c r="F672" i="1" s="1"/>
  <c r="C4" i="10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E112" i="2" s="1"/>
  <c r="L319" i="1"/>
  <c r="E118" i="2" s="1"/>
  <c r="L320" i="1"/>
  <c r="L321" i="1"/>
  <c r="L322" i="1"/>
  <c r="L323" i="1"/>
  <c r="L324" i="1"/>
  <c r="L325" i="1"/>
  <c r="L326" i="1"/>
  <c r="E125" i="2" s="1"/>
  <c r="L333" i="1"/>
  <c r="L334" i="1"/>
  <c r="L335" i="1"/>
  <c r="L260" i="1"/>
  <c r="C32" i="10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H661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3" i="2"/>
  <c r="E113" i="2"/>
  <c r="C114" i="2"/>
  <c r="E114" i="2"/>
  <c r="D115" i="2"/>
  <c r="F115" i="2"/>
  <c r="G115" i="2"/>
  <c r="C118" i="2"/>
  <c r="E119" i="2"/>
  <c r="C120" i="2"/>
  <c r="E120" i="2"/>
  <c r="E121" i="2"/>
  <c r="C122" i="2"/>
  <c r="E122" i="2"/>
  <c r="C123" i="2"/>
  <c r="E123" i="2"/>
  <c r="C124" i="2"/>
  <c r="E124" i="2"/>
  <c r="C125" i="2"/>
  <c r="D127" i="2"/>
  <c r="D128" i="2" s="1"/>
  <c r="F128" i="2"/>
  <c r="G128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I271" i="1" s="1"/>
  <c r="J247" i="1"/>
  <c r="K247" i="1"/>
  <c r="K257" i="1" s="1"/>
  <c r="K271" i="1" s="1"/>
  <c r="F256" i="1"/>
  <c r="G256" i="1"/>
  <c r="H256" i="1"/>
  <c r="I256" i="1"/>
  <c r="J256" i="1"/>
  <c r="L256" i="1" s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H338" i="1" s="1"/>
  <c r="H352" i="1" s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45" i="1" s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J636" i="1" s="1"/>
  <c r="H637" i="1"/>
  <c r="H638" i="1"/>
  <c r="G639" i="1"/>
  <c r="H639" i="1"/>
  <c r="G641" i="1"/>
  <c r="H641" i="1"/>
  <c r="G642" i="1"/>
  <c r="G643" i="1"/>
  <c r="H643" i="1"/>
  <c r="G644" i="1"/>
  <c r="H644" i="1"/>
  <c r="J644" i="1" s="1"/>
  <c r="G645" i="1"/>
  <c r="J645" i="1" s="1"/>
  <c r="H645" i="1"/>
  <c r="H647" i="1"/>
  <c r="G649" i="1"/>
  <c r="J649" i="1" s="1"/>
  <c r="G650" i="1"/>
  <c r="G651" i="1"/>
  <c r="J651" i="1" s="1"/>
  <c r="G652" i="1"/>
  <c r="H652" i="1"/>
  <c r="G653" i="1"/>
  <c r="H653" i="1"/>
  <c r="G654" i="1"/>
  <c r="H654" i="1"/>
  <c r="H655" i="1"/>
  <c r="F192" i="1"/>
  <c r="G164" i="2"/>
  <c r="C26" i="10"/>
  <c r="L351" i="1"/>
  <c r="I662" i="1"/>
  <c r="L290" i="1"/>
  <c r="F660" i="1" s="1"/>
  <c r="A31" i="12"/>
  <c r="C70" i="2"/>
  <c r="A40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E8" i="13"/>
  <c r="C8" i="13" s="1"/>
  <c r="C91" i="2"/>
  <c r="F78" i="2"/>
  <c r="F81" i="2" s="1"/>
  <c r="C78" i="2"/>
  <c r="D50" i="2"/>
  <c r="G157" i="2"/>
  <c r="F18" i="2"/>
  <c r="G161" i="2"/>
  <c r="G156" i="2"/>
  <c r="E103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H552" i="1"/>
  <c r="H140" i="1"/>
  <c r="L401" i="1"/>
  <c r="C139" i="2" s="1"/>
  <c r="L393" i="1"/>
  <c r="A13" i="12"/>
  <c r="H25" i="13"/>
  <c r="C25" i="13" s="1"/>
  <c r="J634" i="1"/>
  <c r="H571" i="1"/>
  <c r="L560" i="1"/>
  <c r="J545" i="1"/>
  <c r="F338" i="1"/>
  <c r="F352" i="1" s="1"/>
  <c r="G192" i="1"/>
  <c r="H192" i="1"/>
  <c r="F552" i="1"/>
  <c r="L309" i="1"/>
  <c r="E16" i="13"/>
  <c r="J655" i="1"/>
  <c r="L570" i="1"/>
  <c r="I571" i="1"/>
  <c r="I545" i="1"/>
  <c r="G36" i="2"/>
  <c r="L565" i="1"/>
  <c r="G545" i="1"/>
  <c r="H545" i="1"/>
  <c r="C138" i="2"/>
  <c r="H33" i="13"/>
  <c r="F476" i="1" l="1"/>
  <c r="H622" i="1" s="1"/>
  <c r="J622" i="1" s="1"/>
  <c r="E33" i="13"/>
  <c r="D35" i="13" s="1"/>
  <c r="E128" i="2"/>
  <c r="C17" i="10"/>
  <c r="L328" i="1"/>
  <c r="L338" i="1" s="1"/>
  <c r="L352" i="1" s="1"/>
  <c r="G633" i="1" s="1"/>
  <c r="J633" i="1" s="1"/>
  <c r="H257" i="1"/>
  <c r="H271" i="1" s="1"/>
  <c r="D7" i="13"/>
  <c r="C7" i="13" s="1"/>
  <c r="C119" i="2"/>
  <c r="G257" i="1"/>
  <c r="G271" i="1" s="1"/>
  <c r="I460" i="1"/>
  <c r="I461" i="1" s="1"/>
  <c r="H642" i="1" s="1"/>
  <c r="J642" i="1" s="1"/>
  <c r="C110" i="2"/>
  <c r="L229" i="1"/>
  <c r="D5" i="13"/>
  <c r="C5" i="13" s="1"/>
  <c r="F22" i="13"/>
  <c r="C22" i="13" s="1"/>
  <c r="C29" i="10"/>
  <c r="H52" i="1"/>
  <c r="H619" i="1" s="1"/>
  <c r="C18" i="2"/>
  <c r="C56" i="2"/>
  <c r="J552" i="1"/>
  <c r="K551" i="1"/>
  <c r="K552" i="1" s="1"/>
  <c r="G661" i="1"/>
  <c r="I661" i="1" s="1"/>
  <c r="F667" i="1"/>
  <c r="L362" i="1"/>
  <c r="G635" i="1" s="1"/>
  <c r="J635" i="1" s="1"/>
  <c r="C128" i="2"/>
  <c r="D12" i="13"/>
  <c r="C12" i="13" s="1"/>
  <c r="J257" i="1"/>
  <c r="J271" i="1" s="1"/>
  <c r="C115" i="2"/>
  <c r="C20" i="10"/>
  <c r="C18" i="10"/>
  <c r="J623" i="1"/>
  <c r="J617" i="1"/>
  <c r="L247" i="1"/>
  <c r="J640" i="1"/>
  <c r="E115" i="2"/>
  <c r="E145" i="2" s="1"/>
  <c r="C10" i="10"/>
  <c r="C16" i="13"/>
  <c r="C81" i="2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E104" i="2"/>
  <c r="I663" i="1"/>
  <c r="C27" i="10"/>
  <c r="D31" i="13" l="1"/>
  <c r="C31" i="13" s="1"/>
  <c r="L257" i="1"/>
  <c r="L271" i="1" s="1"/>
  <c r="G632" i="1" s="1"/>
  <c r="J632" i="1" s="1"/>
  <c r="C28" i="10"/>
  <c r="D22" i="10" s="1"/>
  <c r="H648" i="1"/>
  <c r="J648" i="1" s="1"/>
  <c r="C145" i="2"/>
  <c r="H646" i="1"/>
  <c r="G667" i="1"/>
  <c r="H660" i="1"/>
  <c r="H664" i="1" s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12" i="10"/>
  <c r="D18" i="10"/>
  <c r="D27" i="10"/>
  <c r="D24" i="10"/>
  <c r="D17" i="10"/>
  <c r="D10" i="10"/>
  <c r="C30" i="10"/>
  <c r="D23" i="10"/>
  <c r="D20" i="10"/>
  <c r="D15" i="10"/>
  <c r="D25" i="10"/>
  <c r="D19" i="10"/>
  <c r="D26" i="10"/>
  <c r="D16" i="10"/>
  <c r="D13" i="10"/>
  <c r="D11" i="10"/>
  <c r="D21" i="10"/>
  <c r="I660" i="1"/>
  <c r="I664" i="1" s="1"/>
  <c r="I672" i="1" s="1"/>
  <c r="C7" i="10" s="1"/>
  <c r="H672" i="1"/>
  <c r="C6" i="10" s="1"/>
  <c r="H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<sst xmlns="http://schemas.openxmlformats.org/spreadsheetml/2006/main" count="3961" uniqueCount="917">
  <si>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</si>
  <si>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</si>
  <si>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</si>
  <si>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</si>
  <si>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</si>
  <si>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</si>
  <si>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</si>
  <si>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</si>
  <si>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</si>
  <si>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</si>
  <si>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</si>
  <si>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</si>
  <si>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</si>
  <si>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</si>
  <si>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</si>
  <si>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</si>
  <si>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</si>
  <si>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</si>
  <si>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</si>
  <si>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</si>
  <si>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</si>
  <si>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</si>
  <si>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</si>
  <si>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</si>
  <si>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</si>
  <si>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</si>
  <si>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</si>
  <si>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</si>
  <si>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</si>
  <si>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</si>
  <si>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</si>
  <si>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</si>
  <si>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</si>
  <si>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</si>
  <si>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</si>
  <si>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</si>
  <si>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</si>
  <si>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</si>
  <si>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</si>
  <si>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</si>
  <si>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</si>
  <si>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</si>
  <si>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</si>
  <si>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</si>
  <si>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</si>
  <si>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</si>
  <si>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</si>
  <si>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</si>
  <si>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</si>
  <si>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</si>
  <si>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</si>
  <si>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</si>
  <si>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</si>
  <si>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</si>
  <si>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</si>
  <si>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</si>
  <si>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</si>
  <si>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</si>
  <si>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</si>
  <si>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</si>
  <si>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</si>
  <si>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</si>
  <si>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</si>
  <si>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</si>
  <si>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</si>
  <si>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</si>
  <si>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</si>
  <si>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</si>
  <si>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</si>
  <si>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</si>
  <si>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</si>
  <si>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</si>
  <si>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</si>
  <si>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</si>
  <si>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</si>
  <si>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</si>
  <si>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</si>
  <si>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</si>
  <si>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</si>
  <si>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</si>
  <si>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</si>
  <si>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</si>
  <si>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</si>
  <si>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</si>
  <si>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</si>
  <si>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</si>
  <si>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</si>
  <si>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</si>
  <si>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</si>
  <si>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</si>
  <si>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</si>
  <si>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</si>
  <si>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</si>
  <si>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</si>
  <si>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</si>
  <si>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</si>
  <si>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</si>
  <si>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</si>
  <si>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</si>
  <si>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</si>
  <si>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</si>
  <si>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</si>
  <si>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</si>
  <si>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</si>
  <si>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</si>
  <si>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</si>
  <si>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</si>
  <si>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</si>
  <si>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</si>
  <si>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</si>
  <si>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</si>
  <si>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</si>
  <si>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</si>
  <si>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</si>
  <si>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</si>
  <si>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</si>
  <si>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</si>
  <si>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</si>
  <si>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</si>
  <si>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</si>
  <si>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</si>
  <si>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</si>
  <si>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</si>
  <si>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</si>
  <si>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</si>
  <si>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</si>
  <si>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</si>
  <si>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</si>
  <si>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</si>
  <si>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</si>
  <si>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</si>
  <si>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</si>
  <si>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</si>
  <si>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</si>
  <si>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</si>
  <si>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</si>
  <si>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</si>
  <si>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</si>
  <si>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</si>
  <si>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</si>
  <si>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</si>
  <si>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</si>
  <si>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</si>
  <si>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</si>
  <si>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</si>
  <si>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</si>
  <si>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</si>
  <si>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</si>
  <si>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</si>
  <si>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</si>
  <si>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</si>
  <si>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</si>
  <si>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</si>
  <si>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</si>
  <si>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</si>
  <si>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</si>
  <si>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</si>
  <si>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</si>
  <si>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</si>
  <si>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</si>
  <si>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</si>
  <si>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</si>
  <si>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</si>
  <si>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</si>
  <si>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</si>
  <si>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</si>
  <si>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</si>
  <si>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</si>
  <si>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</si>
  <si>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</si>
  <si>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</si>
  <si>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</si>
  <si>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</si>
  <si>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</si>
  <si>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</si>
  <si>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</si>
  <si>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</si>
  <si>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</si>
  <si>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</si>
  <si>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</si>
  <si>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</si>
  <si>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</si>
  <si>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</si>
  <si>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</si>
  <si>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</si>
  <si>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</si>
  <si>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</si>
  <si>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</si>
  <si>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</si>
  <si>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</si>
  <si>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</si>
  <si>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</si>
  <si>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</si>
  <si>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</si>
  <si>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</si>
  <si>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</si>
  <si>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</si>
  <si>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</si>
  <si>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</si>
  <si>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</si>
  <si>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</si>
  <si>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</si>
  <si>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</si>
  <si>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</si>
  <si>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</si>
  <si>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</si>
  <si>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</si>
  <si>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</si>
  <si>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</si>
  <si>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</si>
  <si>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</si>
  <si>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</si>
  <si>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</si>
  <si>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</si>
  <si>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</si>
  <si>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</si>
  <si>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</si>
  <si>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</si>
  <si>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</si>
  <si>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</si>
  <si>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</si>
  <si>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</si>
  <si>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</si>
  <si>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</si>
  <si>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</si>
  <si>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</si>
  <si>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</si>
  <si>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</si>
  <si>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</si>
  <si>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</si>
  <si>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</si>
  <si>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</si>
  <si>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</si>
  <si>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</si>
  <si>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</si>
  <si>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</si>
  <si>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</si>
  <si>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</si>
  <si>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</si>
  <si>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</si>
  <si>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</si>
  <si>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</si>
  <si>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</si>
  <si>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</si>
  <si>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</si>
  <si>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</si>
  <si>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</si>
  <si>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</si>
  <si>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</si>
  <si>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</si>
  <si>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</si>
  <si>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</si>
  <si>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</si>
  <si>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</si>
  <si>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</si>
  <si>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</si>
  <si>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</si>
  <si>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</si>
  <si>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</si>
  <si>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</si>
  <si>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</si>
  <si>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</si>
  <si>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</si>
  <si>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</si>
  <si>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</si>
  <si>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</si>
  <si>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</si>
  <si>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</si>
  <si>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</si>
  <si>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</si>
  <si>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</si>
  <si>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</si>
  <si>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</si>
  <si>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</si>
  <si>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</si>
  <si>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</si>
  <si>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</si>
  <si>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</si>
  <si>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</si>
  <si>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</si>
  <si>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</si>
  <si>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</si>
  <si>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</si>
  <si>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</si>
  <si>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</si>
  <si>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</si>
  <si>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</si>
  <si>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</si>
  <si>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</si>
  <si>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</si>
  <si>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</si>
  <si>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</si>
  <si>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</si>
  <si>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</si>
  <si>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</si>
  <si>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</si>
  <si>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</si>
  <si>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</si>
  <si>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</si>
  <si>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</si>
  <si>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</si>
  <si>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</si>
  <si>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</si>
  <si>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</si>
  <si>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</si>
  <si>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</si>
  <si>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</si>
  <si>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</si>
  <si>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</si>
  <si>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</si>
  <si>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</si>
  <si>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</si>
  <si>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</si>
  <si>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</si>
  <si>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</si>
  <si>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</si>
  <si>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</si>
  <si>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</si>
  <si>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</si>
  <si>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</si>
  <si>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</si>
  <si>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</si>
  <si>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</si>
  <si>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</si>
  <si>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</si>
  <si>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</si>
  <si>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</si>
  <si>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</si>
  <si>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</si>
  <si>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</si>
  <si>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</si>
  <si>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</si>
  <si>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</si>
  <si>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</si>
  <si>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</si>
  <si>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</si>
  <si>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</si>
  <si>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</si>
  <si>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</si>
  <si>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</si>
  <si>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</si>
  <si>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</si>
  <si>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</si>
  <si>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</si>
  <si>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</si>
  <si>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</si>
  <si>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</si>
  <si>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</si>
  <si>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</si>
  <si>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</si>
  <si>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</si>
  <si>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</si>
  <si>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</si>
  <si>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</si>
  <si>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</si>
  <si>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</si>
  <si>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</si>
  <si>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</si>
  <si>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</si>
  <si>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</si>
  <si>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</si>
  <si>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</si>
  <si>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</si>
  <si>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</si>
  <si>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</si>
  <si>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</si>
  <si>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</si>
  <si>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</si>
  <si>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</si>
  <si>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</si>
  <si>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</si>
  <si>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</si>
  <si>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</si>
  <si>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</si>
  <si>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</si>
  <si>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</si>
  <si>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</si>
  <si>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</si>
  <si>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</si>
  <si>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</si>
  <si>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</si>
  <si>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</si>
  <si>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</si>
  <si>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</si>
  <si>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</si>
  <si>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</si>
  <si>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</si>
  <si>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</si>
  <si>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</si>
  <si>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</si>
  <si>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</si>
  <si>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</si>
  <si>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</si>
  <si>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</si>
  <si>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</si>
  <si>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</si>
  <si>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</si>
  <si>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</si>
  <si>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</si>
  <si>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</si>
  <si>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</si>
  <si>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</si>
  <si>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</si>
  <si>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</si>
  <si>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</si>
  <si>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</si>
  <si>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</si>
  <si>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</si>
  <si>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</si>
  <si>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</si>
  <si>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</si>
  <si>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</si>
  <si>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</si>
  <si>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</si>
  <si>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</si>
  <si>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</si>
  <si>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</si>
  <si>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</si>
  <si>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</si>
  <si>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</si>
  <si>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</si>
  <si>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</si>
  <si>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</si>
  <si>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</si>
  <si>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</si>
  <si>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</si>
  <si>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</si>
  <si>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</si>
  <si>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</si>
  <si>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</si>
  <si>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</si>
  <si>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</si>
  <si>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</si>
  <si>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</si>
  <si>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</si>
  <si>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</si>
  <si>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</si>
  <si>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</si>
  <si>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</si>
  <si>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</si>
  <si>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</si>
  <si>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</si>
  <si>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</si>
  <si>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</si>
  <si>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</si>
  <si>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</si>
  <si>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</si>
  <si>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</si>
  <si>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</si>
  <si>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</si>
  <si>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</si>
  <si>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</si>
  <si>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</si>
  <si>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</si>
  <si>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</si>
  <si>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</si>
  <si>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</si>
  <si>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</si>
  <si>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</si>
  <si>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</si>
  <si>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</si>
  <si>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</si>
  <si>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</si>
  <si>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</si>
  <si>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</si>
  <si>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</si>
  <si>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</si>
  <si>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</si>
  <si>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</si>
  <si>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</si>
  <si>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</si>
  <si>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</si>
  <si>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</si>
  <si>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</si>
  <si>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</si>
  <si>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</si>
  <si>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</si>
  <si>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</si>
  <si>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</si>
  <si>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</si>
  <si>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</si>
  <si>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</si>
  <si>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</si>
  <si>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</si>
  <si>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</si>
  <si>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</si>
  <si>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</si>
  <si>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</si>
  <si>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</si>
  <si>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</si>
  <si>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</si>
  <si>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</si>
  <si>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</si>
  <si>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</si>
  <si>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</si>
  <si>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</si>
  <si>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</si>
  <si>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</si>
  <si>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</si>
  <si>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</si>
  <si>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</si>
  <si>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</si>
  <si>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</si>
  <si>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</si>
  <si>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</si>
  <si>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</si>
  <si>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</si>
  <si>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</si>
  <si>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</si>
  <si>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</si>
  <si>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</si>
  <si>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</si>
  <si>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</si>
  <si>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</si>
  <si>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</si>
  <si>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</si>
  <si>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</si>
  <si>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</si>
  <si>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</si>
  <si>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</si>
  <si>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</si>
  <si>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</si>
  <si>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</si>
  <si>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</si>
  <si>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</si>
  <si>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</si>
  <si>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</si>
  <si>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</si>
  <si>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</si>
  <si>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</si>
  <si>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</si>
  <si>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</si>
  <si>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</si>
  <si>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</si>
  <si>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</si>
  <si>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</si>
  <si>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</si>
  <si>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</si>
  <si>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</si>
  <si>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</si>
  <si>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</si>
  <si>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</si>
  <si>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</si>
  <si>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</si>
  <si>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</si>
  <si>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</si>
  <si>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</si>
  <si>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</si>
  <si>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</si>
  <si>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</si>
  <si>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</si>
  <si>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</si>
  <si>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</si>
  <si>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</si>
  <si>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</si>
  <si>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</si>
  <si>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</si>
  <si>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</si>
  <si>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</si>
  <si>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</si>
  <si>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</si>
  <si>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</si>
  <si>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</si>
  <si>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</si>
  <si>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</si>
  <si>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</si>
  <si>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</si>
  <si>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</si>
  <si>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</si>
  <si>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</si>
  <si>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</si>
  <si>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</si>
  <si>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</si>
  <si>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</si>
  <si>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</si>
  <si>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</si>
  <si>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</si>
  <si>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</si>
  <si>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</si>
  <si>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</si>
  <si>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</si>
  <si>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</si>
  <si>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</si>
  <si>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</si>
  <si>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</si>
  <si>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</si>
  <si>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</si>
  <si>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</si>
  <si>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</si>
  <si>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</si>
  <si>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</si>
  <si>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</si>
  <si>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</si>
  <si>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</si>
  <si>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</si>
  <si>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</si>
  <si>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</si>
  <si>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</si>
  <si>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</si>
  <si>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</si>
  <si>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</si>
  <si>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</si>
  <si>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</si>
  <si>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</si>
  <si>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</si>
  <si>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</si>
  <si>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</si>
  <si>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</si>
  <si>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</si>
  <si>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</si>
  <si>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</si>
  <si>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</si>
  <si>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</si>
  <si>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</si>
  <si>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</si>
  <si>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</si>
  <si>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</si>
  <si>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</si>
  <si>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</si>
  <si>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</si>
  <si>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</si>
  <si>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</si>
  <si>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</si>
  <si>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</si>
  <si>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</si>
  <si>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</si>
  <si>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</si>
  <si>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</si>
  <si>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</si>
  <si>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</si>
  <si>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</si>
  <si>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</si>
  <si>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</si>
  <si>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</si>
  <si>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</si>
  <si>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</si>
  <si>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</si>
  <si>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</si>
  <si>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</si>
  <si>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</si>
  <si>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</si>
  <si>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</si>
  <si>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</si>
  <si>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</si>
  <si>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</si>
  <si>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</si>
  <si>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</si>
  <si>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</si>
  <si>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</si>
  <si>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</si>
  <si>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</si>
  <si>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</si>
  <si>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</si>
  <si>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</si>
  <si>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</si>
  <si>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</si>
  <si>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</si>
  <si>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</si>
  <si>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</si>
  <si>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</si>
  <si>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</si>
  <si>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</si>
  <si>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</si>
  <si>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</si>
  <si>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</si>
  <si>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</si>
  <si>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</si>
  <si>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</si>
  <si>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</si>
  <si>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</si>
  <si>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</si>
  <si>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</si>
  <si>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</si>
  <si>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</si>
  <si>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</si>
  <si>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</si>
  <si>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</si>
  <si>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</si>
  <si>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</si>
  <si>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</si>
  <si>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</si>
  <si>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</si>
  <si>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</si>
  <si>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</si>
  <si>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</si>
  <si>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</si>
  <si>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</si>
  <si>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</si>
  <si>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</si>
  <si>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</si>
  <si>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</si>
  <si>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</si>
  <si>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</si>
  <si>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</si>
  <si>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</si>
  <si>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</si>
  <si>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</si>
  <si>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</si>
  <si>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</si>
  <si>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</si>
  <si>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</si>
  <si>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</si>
  <si>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</si>
  <si>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</si>
  <si>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</si>
  <si>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</si>
  <si>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</si>
  <si>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</si>
  <si>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</si>
  <si>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</si>
  <si>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</si>
  <si>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</si>
  <si>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</si>
  <si>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</si>
  <si>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</si>
  <si>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</si>
  <si>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</si>
  <si>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</si>
  <si>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</si>
  <si>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</si>
  <si>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</si>
  <si>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</si>
  <si>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</si>
  <si>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</si>
  <si>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</si>
  <si>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</si>
  <si>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</si>
  <si>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</si>
  <si>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</si>
  <si>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</si>
  <si>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</si>
  <si>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</si>
  <si>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</si>
  <si>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</si>
  <si>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</si>
  <si>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</si>
  <si>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</si>
  <si>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</si>
  <si>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</si>
  <si>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</si>
  <si>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</si>
  <si>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</si>
  <si>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</si>
  <si>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</si>
  <si>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</si>
  <si>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</si>
  <si>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</si>
  <si>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</si>
  <si>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</si>
  <si>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</si>
  <si>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</si>
  <si>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</si>
  <si>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</si>
  <si>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</si>
  <si>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</si>
  <si>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</si>
  <si>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</si>
  <si>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</si>
  <si>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</si>
  <si>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</si>
  <si>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</si>
  <si>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</si>
  <si>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</si>
  <si>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</si>
  <si>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</si>
  <si>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</si>
  <si>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</si>
  <si>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</si>
  <si>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</si>
  <si>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</si>
  <si>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</si>
  <si>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</si>
  <si>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</si>
  <si>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</si>
  <si>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</si>
  <si>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</si>
  <si>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</si>
  <si>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</si>
  <si>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</si>
  <si>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</si>
  <si>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</si>
  <si>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</si>
  <si>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</si>
  <si>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</si>
  <si>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</si>
  <si>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</si>
  <si>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</si>
  <si>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</si>
  <si>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</si>
  <si>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</si>
  <si>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</si>
  <si>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</si>
  <si>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</si>
  <si>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</si>
  <si>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</si>
  <si>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</si>
  <si>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</si>
  <si>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</si>
  <si>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</si>
  <si>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</si>
  <si>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</si>
  <si>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</si>
  <si>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</si>
  <si>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</si>
  <si>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</si>
  <si>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</si>
  <si>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</si>
  <si>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</si>
  <si>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</si>
  <si>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</si>
  <si>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</si>
  <si>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</si>
  <si>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</si>
  <si>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</si>
  <si>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</si>
  <si>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</si>
  <si>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</si>
  <si>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</si>
  <si>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</si>
  <si>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</si>
  <si>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</si>
  <si>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</si>
  <si>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</si>
  <si>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</si>
  <si>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</si>
  <si>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</si>
  <si>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</si>
  <si>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</si>
  <si>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</si>
  <si>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</si>
  <si>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</si>
  <si>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</si>
  <si>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</si>
  <si>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</si>
  <si>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</si>
  <si>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</si>
  <si>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</si>
  <si>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</si>
  <si>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</si>
  <si>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</si>
  <si>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</si>
  <si>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</si>
  <si>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</si>
  <si>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</si>
  <si>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</si>
  <si>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</si>
  <si>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</si>
  <si>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</si>
  <si>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</si>
  <si>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</si>
  <si>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</si>
  <si>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</si>
  <si>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</si>
  <si>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</si>
  <si>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</si>
  <si>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</si>
  <si>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</si>
  <si>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</si>
  <si>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</si>
  <si>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</si>
  <si>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</si>
  <si>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</si>
  <si>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</si>
  <si>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</si>
  <si>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</si>
  <si>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</si>
  <si>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</si>
  <si>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</si>
  <si>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</si>
  <si>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</si>
  <si>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</si>
  <si>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</si>
  <si>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</si>
  <si>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</si>
  <si>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</si>
  <si>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</si>
  <si>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</si>
  <si>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</si>
  <si>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</si>
  <si>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</si>
  <si>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</si>
  <si>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</si>
  <si>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</si>
  <si>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</si>
  <si>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</si>
  <si>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</si>
  <si>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</si>
  <si>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</si>
  <si>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</si>
  <si>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</si>
  <si>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</si>
  <si>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</si>
  <si>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</si>
  <si>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</si>
  <si>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</si>
  <si>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</si>
  <si>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</si>
  <si>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</si>
  <si>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</si>
  <si>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</si>
  <si>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</si>
  <si>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</si>
  <si>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</si>
  <si>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</si>
  <si>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</si>
  <si>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</si>
  <si>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</si>
  <si>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</si>
  <si>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</si>
  <si>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</si>
  <si>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</si>
  <si>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</si>
  <si>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Hollis Brookline Cooperative School District</t>
  </si>
  <si>
    <t>8/96</t>
  </si>
  <si>
    <t>8/16</t>
  </si>
  <si>
    <t>8/04</t>
  </si>
  <si>
    <t>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</si>
</sst>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6" topLeftCell="F631" activePane="bottomRight" state="frozen"/>
      <selection pane="topRight" activeCell="F1" sqref="F1"/>
      <selection pane="bottomLeft" activeCell="A7" sqref="A7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260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1551845.45+500</f>
        <v>1552345.45</v>
      </c>
      <c r="G9" s="18">
        <f>74+12819.43+24666.23</f>
        <v>37559.660000000003</v>
      </c>
      <c r="H9" s="18"/>
      <c r="I9" s="18"/>
      <c r="J9" s="67">
        <f>SUM(I439)</f>
        <v>51619.95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7888.77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752532.59</v>
      </c>
      <c r="G12" s="18"/>
      <c r="H12" s="18">
        <v>165576.04999999999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15372.87</v>
      </c>
      <c r="G13" s="18">
        <v>1835.76</v>
      </c>
      <c r="H13" s="18">
        <v>82954.880000000005</v>
      </c>
      <c r="I13" s="18"/>
      <c r="J13" s="67">
        <f>SUM(I442)</f>
        <v>98391.799999999988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884.23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7931.53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16214.2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-804.43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2344433.6800000002</v>
      </c>
      <c r="G19" s="41">
        <f>SUM(G9:G18)</f>
        <v>47326.950000000004</v>
      </c>
      <c r="H19" s="41">
        <f>SUM(H9:H18)</f>
        <v>248530.93</v>
      </c>
      <c r="I19" s="41">
        <f>SUM(I9:I18)</f>
        <v>0</v>
      </c>
      <c r="J19" s="41">
        <f>SUM(J9:J18)</f>
        <v>150011.75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772479.4</v>
      </c>
      <c r="G22" s="18">
        <v>9639.51</v>
      </c>
      <c r="H22" s="18">
        <f>255557.01-(86652.12+17095.08+33.58+20615.68+500+14666.7+2081.33+30509.81+2147.83)</f>
        <v>81254.880000000034</v>
      </c>
      <c r="I22" s="18"/>
      <c r="J22" s="67">
        <f>SUM(I448)</f>
        <v>54734.85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v>0</v>
      </c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214615.77</v>
      </c>
      <c r="G24" s="18">
        <v>716.39</v>
      </c>
      <c r="H24" s="18">
        <f>25780.75+1700</f>
        <v>27480.75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-78702.63+66430.96+5019.27+5066.86</f>
        <v>-2185.5399999999981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225</v>
      </c>
      <c r="G30" s="18">
        <v>20262.09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985134.63</v>
      </c>
      <c r="G32" s="41">
        <f>SUM(G22:G31)</f>
        <v>30617.989999999998</v>
      </c>
      <c r="H32" s="41">
        <f>SUM(H22:H31)</f>
        <v>108735.63000000003</v>
      </c>
      <c r="I32" s="41">
        <f>SUM(I22:I31)</f>
        <v>0</v>
      </c>
      <c r="J32" s="41">
        <f>SUM(J22:J31)</f>
        <v>54734.85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7931.53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16214.2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>
        <v>8777.43</v>
      </c>
      <c r="H43" s="18">
        <v>139795.29999999999</v>
      </c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287000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155833.21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142000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95276.9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758251.64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1359299.05</v>
      </c>
      <c r="G51" s="41">
        <f>SUM(G35:G50)</f>
        <v>16708.96</v>
      </c>
      <c r="H51" s="41">
        <f>SUM(H35:H50)</f>
        <v>139795.29999999999</v>
      </c>
      <c r="I51" s="41">
        <f>SUM(I35:I50)</f>
        <v>0</v>
      </c>
      <c r="J51" s="41">
        <f>SUM(J35:J50)</f>
        <v>95276.9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2344433.6800000002</v>
      </c>
      <c r="G52" s="41">
        <f>G51+G32</f>
        <v>47326.95</v>
      </c>
      <c r="H52" s="41">
        <f>H51+H32</f>
        <v>248530.93000000002</v>
      </c>
      <c r="I52" s="41">
        <f>I51+I32</f>
        <v>0</v>
      </c>
      <c r="J52" s="41">
        <f>J51+J32</f>
        <v>150011.75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6681113+8238476</f>
        <v>14919589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14919589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1908.17</v>
      </c>
      <c r="G96" s="18">
        <v>43.92</v>
      </c>
      <c r="H96" s="18"/>
      <c r="I96" s="18"/>
      <c r="J96" s="18">
        <f>272.6+201.41</f>
        <v>474.01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92981.29+175682.09+23858.01+79483.63-6418.21</f>
        <v>365586.81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f>17097.27+51695.97</f>
        <v>68793.240000000005</v>
      </c>
      <c r="G98" s="24" t="s">
        <v>288</v>
      </c>
      <c r="H98" s="18">
        <v>278258.28999999998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1456.25+180</f>
        <v>1636.25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18504.650000000001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131.26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90973.569999999992</v>
      </c>
      <c r="G111" s="41">
        <f>SUM(G96:G110)</f>
        <v>365630.73</v>
      </c>
      <c r="H111" s="41">
        <f>SUM(H96:H110)</f>
        <v>278258.28999999998</v>
      </c>
      <c r="I111" s="41">
        <f>SUM(I96:I110)</f>
        <v>0</v>
      </c>
      <c r="J111" s="41">
        <f>SUM(J96:J110)</f>
        <v>474.01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15010562.57</v>
      </c>
      <c r="G112" s="41">
        <f>G60+G111</f>
        <v>365630.73</v>
      </c>
      <c r="H112" s="41">
        <f>H60+H79+H94+H111</f>
        <v>278258.28999999998</v>
      </c>
      <c r="I112" s="41">
        <f>I60+I111</f>
        <v>0</v>
      </c>
      <c r="J112" s="41">
        <f>J60+J111</f>
        <v>474.01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2994005.17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2103120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5097125.17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341984.34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671603.99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9498.1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2774.69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1023086.43</v>
      </c>
      <c r="G136" s="41">
        <f>SUM(G123:G135)</f>
        <v>2774.69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6120211.5999999996</v>
      </c>
      <c r="G140" s="41">
        <f>G121+SUM(G136:G137)</f>
        <v>2774.69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>
        <v>13117.26</v>
      </c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13117.26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11760+23822</f>
        <v>35582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3217.54+4644.25</f>
        <v>7861.79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14483.22+17377.64</f>
        <v>31860.86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223375.02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206735.16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206735.16</v>
      </c>
      <c r="G162" s="41">
        <f>SUM(G150:G161)</f>
        <v>31860.86</v>
      </c>
      <c r="H162" s="41">
        <f>SUM(H150:H161)</f>
        <v>266818.81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206735.16</v>
      </c>
      <c r="G169" s="41">
        <f>G147+G162+SUM(G163:G168)</f>
        <v>44978.12</v>
      </c>
      <c r="H169" s="41">
        <f>H147+H162+SUM(H163:H168)</f>
        <v>266818.81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79874.97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79874.97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4197.8999999999996</v>
      </c>
      <c r="G187" s="18"/>
      <c r="H187" s="18">
        <v>727.21</v>
      </c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4197.8999999999996</v>
      </c>
      <c r="G188" s="41">
        <f>SUM(G185:G187)</f>
        <v>0</v>
      </c>
      <c r="H188" s="41">
        <f>SUM(H185:H187)</f>
        <v>727.21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4197.8999999999996</v>
      </c>
      <c r="G192" s="41">
        <f>G183+SUM(G188:G191)</f>
        <v>0</v>
      </c>
      <c r="H192" s="41">
        <f>+H183+SUM(H188:H191)</f>
        <v>727.21</v>
      </c>
      <c r="I192" s="41">
        <f>I177+I183+SUM(I188:I191)</f>
        <v>0</v>
      </c>
      <c r="J192" s="41">
        <f>J183</f>
        <v>79874.97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21341707.23</v>
      </c>
      <c r="G193" s="47">
        <f>G112+G140+G169+G192</f>
        <v>413383.54</v>
      </c>
      <c r="H193" s="47">
        <f>H112+H140+H169+H192</f>
        <v>545804.30999999994</v>
      </c>
      <c r="I193" s="47">
        <f>I112+I140+I169+I192</f>
        <v>0</v>
      </c>
      <c r="J193" s="47">
        <f>J112+J140+J192</f>
        <v>80348.98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1795744.25</v>
      </c>
      <c r="G215" s="18">
        <v>788658.42</v>
      </c>
      <c r="H215" s="18">
        <f>2563.28</f>
        <v>2563.2800000000002</v>
      </c>
      <c r="I215" s="18">
        <f>47338.86</f>
        <v>47338.86</v>
      </c>
      <c r="J215" s="18">
        <v>1516.9</v>
      </c>
      <c r="K215" s="18">
        <v>1514.5</v>
      </c>
      <c r="L215" s="19">
        <f>SUM(F215:K215)</f>
        <v>2637336.2099999995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680410.16+7977.02</f>
        <v>688387.18</v>
      </c>
      <c r="G216" s="18">
        <v>298823.84999999998</v>
      </c>
      <c r="H216" s="18">
        <f>453393.77+266.94+6133.93</f>
        <v>459794.64</v>
      </c>
      <c r="I216" s="18">
        <v>31353.94</v>
      </c>
      <c r="J216" s="18">
        <v>2488.91</v>
      </c>
      <c r="K216" s="18">
        <v>547.41</v>
      </c>
      <c r="L216" s="19">
        <f>SUM(F216:K216)</f>
        <v>1481395.9299999997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>
        <v>0</v>
      </c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58575</v>
      </c>
      <c r="G218" s="18">
        <f>25725.08</f>
        <v>25725.08</v>
      </c>
      <c r="H218" s="18">
        <f>16424-5219.5</f>
        <v>11204.5</v>
      </c>
      <c r="I218" s="18">
        <v>9025.2199999999993</v>
      </c>
      <c r="J218" s="18"/>
      <c r="K218" s="18">
        <v>1800</v>
      </c>
      <c r="L218" s="19">
        <f>SUM(F218:K218)</f>
        <v>106329.8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238032.15+43656.48</f>
        <v>281688.63</v>
      </c>
      <c r="G220" s="18">
        <f>104539.42</f>
        <v>104539.42</v>
      </c>
      <c r="H220" s="18">
        <f>119477.16+30667.36</f>
        <v>150144.52000000002</v>
      </c>
      <c r="I220" s="18">
        <v>10211.49</v>
      </c>
      <c r="J220" s="18"/>
      <c r="K220" s="18"/>
      <c r="L220" s="19">
        <f t="shared" ref="L220:L226" si="2">SUM(F220:K220)</f>
        <v>546584.06000000006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113310.47+12558.22</f>
        <v>125868.69</v>
      </c>
      <c r="G221" s="18">
        <f>49763.91+32405.98+3906.71</f>
        <v>86076.6</v>
      </c>
      <c r="H221" s="18">
        <v>559.30999999999995</v>
      </c>
      <c r="I221" s="18">
        <f>9188.58+243.23</f>
        <v>9431.81</v>
      </c>
      <c r="J221" s="18">
        <v>41176.019999999997</v>
      </c>
      <c r="K221" s="18"/>
      <c r="L221" s="19">
        <f t="shared" si="2"/>
        <v>263112.43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>
        <f>338.68+390.64+285151.52</f>
        <v>285880.84000000003</v>
      </c>
      <c r="I222" s="18">
        <v>1360.02</v>
      </c>
      <c r="J222" s="18"/>
      <c r="K222" s="18">
        <v>1912.36</v>
      </c>
      <c r="L222" s="19">
        <f t="shared" si="2"/>
        <v>289153.22000000003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279990.92+360.36</f>
        <v>280351.27999999997</v>
      </c>
      <c r="G223" s="18">
        <v>122966.95</v>
      </c>
      <c r="H223" s="18">
        <f>28066.87+4320+5194.98+2040</f>
        <v>39621.85</v>
      </c>
      <c r="I223" s="18">
        <f>661.41+30916.99</f>
        <v>31578.400000000001</v>
      </c>
      <c r="J223" s="18"/>
      <c r="K223" s="18">
        <v>1208.99</v>
      </c>
      <c r="L223" s="19">
        <f t="shared" si="2"/>
        <v>475727.47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>
        <v>0</v>
      </c>
      <c r="H224" s="18"/>
      <c r="I224" s="18"/>
      <c r="J224" s="18"/>
      <c r="K224" s="18">
        <v>289.58999999999997</v>
      </c>
      <c r="L224" s="19">
        <f t="shared" si="2"/>
        <v>289.58999999999997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178483.51</v>
      </c>
      <c r="G225" s="18">
        <v>78386.740000000005</v>
      </c>
      <c r="H225" s="18">
        <f>131199.29+21621</f>
        <v>152820.29</v>
      </c>
      <c r="I225" s="18">
        <f>114581.54+147.89</f>
        <v>114729.43</v>
      </c>
      <c r="J225" s="18"/>
      <c r="K225" s="18">
        <v>19833.95</v>
      </c>
      <c r="L225" s="19">
        <f t="shared" si="2"/>
        <v>544253.91999999993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292461.69+5219.5</f>
        <v>297681.19</v>
      </c>
      <c r="I226" s="18">
        <v>24348.04</v>
      </c>
      <c r="J226" s="18"/>
      <c r="K226" s="18"/>
      <c r="L226" s="19">
        <f t="shared" si="2"/>
        <v>322029.23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3409098.54</v>
      </c>
      <c r="G229" s="41">
        <f>SUM(G215:G228)</f>
        <v>1505177.06</v>
      </c>
      <c r="H229" s="41">
        <f>SUM(H215:H228)</f>
        <v>1400270.42</v>
      </c>
      <c r="I229" s="41">
        <f>SUM(I215:I228)</f>
        <v>279377.21000000002</v>
      </c>
      <c r="J229" s="41">
        <f>SUM(J215:J228)</f>
        <v>45181.829999999994</v>
      </c>
      <c r="K229" s="41">
        <f t="shared" si="3"/>
        <v>27106.799999999999</v>
      </c>
      <c r="L229" s="41">
        <f t="shared" si="3"/>
        <v>6666211.8599999994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3339760.76</v>
      </c>
      <c r="G233" s="18">
        <v>1435081.64</v>
      </c>
      <c r="H233" s="18">
        <v>3267.8</v>
      </c>
      <c r="I233" s="18">
        <f>159598.84+200</f>
        <v>159798.84</v>
      </c>
      <c r="J233" s="18">
        <v>10160.02</v>
      </c>
      <c r="K233" s="18">
        <v>1439</v>
      </c>
      <c r="L233" s="19">
        <f>SUM(F233:K233)</f>
        <v>4949508.0599999987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915796.75+14181.38</f>
        <v>929978.13</v>
      </c>
      <c r="G234" s="18">
        <v>393514.15</v>
      </c>
      <c r="H234" s="18">
        <f>946260.78+474.56-1560+10904.76</f>
        <v>956080.10000000009</v>
      </c>
      <c r="I234" s="18">
        <v>10282.030000000001</v>
      </c>
      <c r="J234" s="18">
        <v>11562.32</v>
      </c>
      <c r="K234" s="18">
        <v>742.5</v>
      </c>
      <c r="L234" s="19">
        <f>SUM(F234:K234)</f>
        <v>2302159.2299999995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33780.39-1007.66</f>
        <v>32772.729999999996</v>
      </c>
      <c r="I235" s="18"/>
      <c r="J235" s="18"/>
      <c r="K235" s="18"/>
      <c r="L235" s="19">
        <f>SUM(F235:K235)</f>
        <v>32772.729999999996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332906.5</v>
      </c>
      <c r="G236" s="18">
        <f>143048.57+990.9+16629+700</f>
        <v>161368.47</v>
      </c>
      <c r="H236" s="18">
        <f>148066.66-76522.55</f>
        <v>71544.11</v>
      </c>
      <c r="I236" s="18">
        <v>17271.32</v>
      </c>
      <c r="J236" s="18">
        <v>19560.650000000001</v>
      </c>
      <c r="K236" s="18">
        <v>22903</v>
      </c>
      <c r="L236" s="19">
        <f>SUM(F236:K236)</f>
        <v>625554.04999999993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653028.33+77611.52</f>
        <v>730639.85</v>
      </c>
      <c r="G238" s="18">
        <v>280603.62</v>
      </c>
      <c r="H238" s="18">
        <f>63521.29+1028+54519.76</f>
        <v>119069.05</v>
      </c>
      <c r="I238" s="18">
        <v>6118.24</v>
      </c>
      <c r="J238" s="18">
        <v>760</v>
      </c>
      <c r="K238" s="18">
        <f>1105+129</f>
        <v>1234</v>
      </c>
      <c r="L238" s="19">
        <f t="shared" ref="L238:L244" si="4">SUM(F238:K238)</f>
        <v>1138424.76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147565.99+22325.72</f>
        <v>169891.71</v>
      </c>
      <c r="G239" s="18">
        <f>63408.51+57966.25+2167.21+3422.83+781+2295.46+2861.68+6945.26+5268.87+554</f>
        <v>145671.07000000004</v>
      </c>
      <c r="H239" s="18">
        <f>50+590.58</f>
        <v>640.58000000000004</v>
      </c>
      <c r="I239" s="18">
        <f>24925.97+432.41</f>
        <v>25358.38</v>
      </c>
      <c r="J239" s="18">
        <v>52697.73</v>
      </c>
      <c r="K239" s="18">
        <f>75+0</f>
        <v>75</v>
      </c>
      <c r="L239" s="19">
        <f t="shared" si="4"/>
        <v>394334.47000000003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0</v>
      </c>
      <c r="G240" s="18">
        <v>0</v>
      </c>
      <c r="H240" s="18">
        <f>602.11+694.46+506936.03</f>
        <v>508232.60000000003</v>
      </c>
      <c r="I240" s="18">
        <v>2417.8000000000002</v>
      </c>
      <c r="J240" s="18">
        <v>0</v>
      </c>
      <c r="K240" s="18">
        <v>3399.76</v>
      </c>
      <c r="L240" s="19">
        <f t="shared" si="4"/>
        <v>514050.16000000003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397732.22+640.64</f>
        <v>398372.86</v>
      </c>
      <c r="G241" s="18">
        <v>170903.92</v>
      </c>
      <c r="H241" s="18">
        <f>47827.45+7680+9235.52</f>
        <v>64742.97</v>
      </c>
      <c r="I241" s="18">
        <f>1150.19+54963.55</f>
        <v>56113.740000000005</v>
      </c>
      <c r="J241" s="18">
        <v>269</v>
      </c>
      <c r="K241" s="18">
        <v>13067.31</v>
      </c>
      <c r="L241" s="19">
        <f t="shared" si="4"/>
        <v>703469.8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514.84</v>
      </c>
      <c r="L242" s="19">
        <f t="shared" si="4"/>
        <v>514.84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287411.3</v>
      </c>
      <c r="G243" s="18">
        <v>123499.46</v>
      </c>
      <c r="H243" s="18">
        <f>163099.65+167.5+38437.33</f>
        <v>201704.47999999998</v>
      </c>
      <c r="I243" s="18">
        <f>195058.57+262.91</f>
        <v>195321.48</v>
      </c>
      <c r="J243" s="18">
        <v>4833.4799999999996</v>
      </c>
      <c r="K243" s="18">
        <f>35260.36</f>
        <v>35260.36</v>
      </c>
      <c r="L243" s="19">
        <f t="shared" si="4"/>
        <v>848030.55999999994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f>726304.56+76522.55</f>
        <v>802827.1100000001</v>
      </c>
      <c r="I244" s="18">
        <v>26400.66</v>
      </c>
      <c r="J244" s="18">
        <v>0</v>
      </c>
      <c r="K244" s="18">
        <v>0</v>
      </c>
      <c r="L244" s="19">
        <f t="shared" si="4"/>
        <v>829227.77000000014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6188961.1099999994</v>
      </c>
      <c r="G247" s="41">
        <f t="shared" si="5"/>
        <v>2710642.3299999996</v>
      </c>
      <c r="H247" s="41">
        <f t="shared" si="5"/>
        <v>2760881.5300000003</v>
      </c>
      <c r="I247" s="41">
        <f t="shared" si="5"/>
        <v>499082.48999999993</v>
      </c>
      <c r="J247" s="41">
        <f t="shared" si="5"/>
        <v>99843.199999999997</v>
      </c>
      <c r="K247" s="41">
        <f t="shared" si="5"/>
        <v>78635.76999999999</v>
      </c>
      <c r="L247" s="41">
        <f t="shared" si="5"/>
        <v>12338046.43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>
        <f>60073.91+43180.54</f>
        <v>103254.45000000001</v>
      </c>
      <c r="K255" s="18"/>
      <c r="L255" s="19">
        <f t="shared" si="6"/>
        <v>103254.45000000001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103254.45000000001</v>
      </c>
      <c r="K256" s="41">
        <f t="shared" si="7"/>
        <v>0</v>
      </c>
      <c r="L256" s="41">
        <f>SUM(F256:K256)</f>
        <v>103254.45000000001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9598059.6499999985</v>
      </c>
      <c r="G257" s="41">
        <f t="shared" si="8"/>
        <v>4215819.3899999997</v>
      </c>
      <c r="H257" s="41">
        <f t="shared" si="8"/>
        <v>4161151.95</v>
      </c>
      <c r="I257" s="41">
        <f t="shared" si="8"/>
        <v>778459.7</v>
      </c>
      <c r="J257" s="41">
        <f t="shared" si="8"/>
        <v>248279.48</v>
      </c>
      <c r="K257" s="41">
        <f t="shared" si="8"/>
        <v>105742.56999999999</v>
      </c>
      <c r="L257" s="41">
        <f t="shared" si="8"/>
        <v>19107512.739999998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836443.65</v>
      </c>
      <c r="L260" s="19">
        <f>SUM(F260:K260)</f>
        <v>836443.65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659640.35</v>
      </c>
      <c r="L261" s="19">
        <f>SUM(F261:K261)</f>
        <v>659640.35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f>59874.97+20000</f>
        <v>79874.97</v>
      </c>
      <c r="L266" s="19">
        <f t="shared" si="9"/>
        <v>79874.97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1575958.97</v>
      </c>
      <c r="L270" s="41">
        <f t="shared" si="9"/>
        <v>1575958.97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9598059.6499999985</v>
      </c>
      <c r="G271" s="42">
        <f t="shared" si="11"/>
        <v>4215819.3899999997</v>
      </c>
      <c r="H271" s="42">
        <f t="shared" si="11"/>
        <v>4161151.95</v>
      </c>
      <c r="I271" s="42">
        <f t="shared" si="11"/>
        <v>778459.7</v>
      </c>
      <c r="J271" s="42">
        <f t="shared" si="11"/>
        <v>248279.48</v>
      </c>
      <c r="K271" s="42">
        <f t="shared" si="11"/>
        <v>1681701.54</v>
      </c>
      <c r="L271" s="42">
        <f t="shared" si="11"/>
        <v>20683471.709999997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15336</v>
      </c>
      <c r="G295" s="18"/>
      <c r="H295" s="18"/>
      <c r="I295" s="18"/>
      <c r="J295" s="18"/>
      <c r="K295" s="18"/>
      <c r="L295" s="19">
        <f>SUM(F295:K295)</f>
        <v>15336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61228.76</v>
      </c>
      <c r="G296" s="18"/>
      <c r="H296" s="18">
        <v>3850.25</v>
      </c>
      <c r="I296" s="18"/>
      <c r="J296" s="18"/>
      <c r="K296" s="18"/>
      <c r="L296" s="19">
        <f>SUM(F296:K296)</f>
        <v>65079.01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f>1671.93+1158.31</f>
        <v>2830.24</v>
      </c>
      <c r="I301" s="18"/>
      <c r="J301" s="18"/>
      <c r="K301" s="18"/>
      <c r="L301" s="19">
        <f t="shared" si="14"/>
        <v>2830.24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>
        <v>4233.6000000000004</v>
      </c>
      <c r="J303" s="18"/>
      <c r="K303" s="18"/>
      <c r="L303" s="19">
        <f t="shared" si="14"/>
        <v>4233.6000000000004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76564.760000000009</v>
      </c>
      <c r="G309" s="42">
        <f t="shared" si="15"/>
        <v>0</v>
      </c>
      <c r="H309" s="42">
        <f t="shared" si="15"/>
        <v>6680.49</v>
      </c>
      <c r="I309" s="42">
        <f t="shared" si="15"/>
        <v>4233.6000000000004</v>
      </c>
      <c r="J309" s="42">
        <f t="shared" si="15"/>
        <v>0</v>
      </c>
      <c r="K309" s="42">
        <f t="shared" si="15"/>
        <v>0</v>
      </c>
      <c r="L309" s="41">
        <f t="shared" si="15"/>
        <v>87478.85000000002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f>27264</f>
        <v>27264</v>
      </c>
      <c r="G314" s="18"/>
      <c r="H314" s="18">
        <v>3056.74</v>
      </c>
      <c r="I314" s="18"/>
      <c r="J314" s="18"/>
      <c r="K314" s="18"/>
      <c r="L314" s="19">
        <f>SUM(F314:K314)</f>
        <v>30320.739999999998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108851.13</f>
        <v>108851.13</v>
      </c>
      <c r="G315" s="18"/>
      <c r="H315" s="18">
        <f>6844.88</f>
        <v>6844.88</v>
      </c>
      <c r="I315" s="18"/>
      <c r="J315" s="18"/>
      <c r="K315" s="18"/>
      <c r="L315" s="19">
        <f>SUM(F315:K315)</f>
        <v>115696.01000000001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>
        <v>273666.58</v>
      </c>
      <c r="I317" s="18"/>
      <c r="J317" s="18"/>
      <c r="K317" s="18"/>
      <c r="L317" s="19">
        <f>SUM(F317:K317)</f>
        <v>273666.58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v>2903</v>
      </c>
      <c r="I319" s="18"/>
      <c r="J319" s="18"/>
      <c r="K319" s="18"/>
      <c r="L319" s="19">
        <f t="shared" ref="L319:L325" si="16">SUM(F319:K319)</f>
        <v>2903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f>2972.32+2059.23</f>
        <v>5031.55</v>
      </c>
      <c r="I320" s="18"/>
      <c r="J320" s="18"/>
      <c r="K320" s="18"/>
      <c r="L320" s="19">
        <f t="shared" si="16"/>
        <v>5031.55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>
        <v>7526.4</v>
      </c>
      <c r="J322" s="18"/>
      <c r="K322" s="18"/>
      <c r="L322" s="19">
        <f t="shared" si="16"/>
        <v>7526.4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>
        <v>1263.19</v>
      </c>
      <c r="I324" s="18"/>
      <c r="J324" s="18"/>
      <c r="K324" s="18"/>
      <c r="L324" s="19">
        <f t="shared" si="16"/>
        <v>1263.19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>
        <v>250.17</v>
      </c>
      <c r="I326" s="18"/>
      <c r="J326" s="18"/>
      <c r="K326" s="18"/>
      <c r="L326" s="19">
        <f>SUM(F326:K326)</f>
        <v>250.17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136115.13</v>
      </c>
      <c r="G328" s="42">
        <f t="shared" si="17"/>
        <v>0</v>
      </c>
      <c r="H328" s="42">
        <f t="shared" si="17"/>
        <v>293016.11</v>
      </c>
      <c r="I328" s="42">
        <f t="shared" si="17"/>
        <v>7526.4</v>
      </c>
      <c r="J328" s="42">
        <f t="shared" si="17"/>
        <v>0</v>
      </c>
      <c r="K328" s="42">
        <f t="shared" si="17"/>
        <v>0</v>
      </c>
      <c r="L328" s="41">
        <f t="shared" si="17"/>
        <v>436657.64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>
        <v>23822</v>
      </c>
      <c r="K336" s="18"/>
      <c r="L336" s="19">
        <f t="shared" si="18"/>
        <v>23822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23822</v>
      </c>
      <c r="K337" s="41">
        <f t="shared" si="19"/>
        <v>0</v>
      </c>
      <c r="L337" s="41">
        <f t="shared" si="18"/>
        <v>23822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212679.89</v>
      </c>
      <c r="G338" s="41">
        <f t="shared" si="20"/>
        <v>0</v>
      </c>
      <c r="H338" s="41">
        <f t="shared" si="20"/>
        <v>299696.59999999998</v>
      </c>
      <c r="I338" s="41">
        <f t="shared" si="20"/>
        <v>11760</v>
      </c>
      <c r="J338" s="41">
        <f t="shared" si="20"/>
        <v>23822</v>
      </c>
      <c r="K338" s="41">
        <f t="shared" si="20"/>
        <v>0</v>
      </c>
      <c r="L338" s="41">
        <f t="shared" si="20"/>
        <v>547958.49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212679.89</v>
      </c>
      <c r="G352" s="41">
        <f>G338</f>
        <v>0</v>
      </c>
      <c r="H352" s="41">
        <f>H338</f>
        <v>299696.59999999998</v>
      </c>
      <c r="I352" s="41">
        <f>I338</f>
        <v>11760</v>
      </c>
      <c r="J352" s="41">
        <f>J338</f>
        <v>23822</v>
      </c>
      <c r="K352" s="47">
        <f>K338+K351</f>
        <v>0</v>
      </c>
      <c r="L352" s="41">
        <f>L338+L351</f>
        <v>547958.49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6677.47+56466.94</f>
        <v>63144.41</v>
      </c>
      <c r="G359" s="18">
        <f>267.75</f>
        <v>267.75</v>
      </c>
      <c r="H359" s="18">
        <f>2218.14</f>
        <v>2218.14</v>
      </c>
      <c r="I359" s="18">
        <f>5082.16+2619.42+5040.5+39668.26+19269.64+677.79</f>
        <v>72357.77</v>
      </c>
      <c r="J359" s="18">
        <v>505</v>
      </c>
      <c r="K359" s="18">
        <v>205.02</v>
      </c>
      <c r="L359" s="19">
        <f>SUM(F359:K359)</f>
        <v>138698.09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11871.07+84957.81</f>
        <v>96828.88</v>
      </c>
      <c r="G360" s="18">
        <v>476</v>
      </c>
      <c r="H360" s="18">
        <f>1954.87+75.49</f>
        <v>2030.36</v>
      </c>
      <c r="I360" s="18">
        <f>8711.39+4362.27+8960.89+79909.59+56234.6+1204.96</f>
        <v>159383.69999999998</v>
      </c>
      <c r="J360" s="18">
        <v>533.62</v>
      </c>
      <c r="K360" s="18">
        <v>364.48</v>
      </c>
      <c r="L360" s="19">
        <f>SUM(F360:K360)</f>
        <v>259617.04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159973.29</v>
      </c>
      <c r="G362" s="47">
        <f t="shared" si="22"/>
        <v>743.75</v>
      </c>
      <c r="H362" s="47">
        <f t="shared" si="22"/>
        <v>4248.5</v>
      </c>
      <c r="I362" s="47">
        <f t="shared" si="22"/>
        <v>231741.46999999997</v>
      </c>
      <c r="J362" s="47">
        <f t="shared" si="22"/>
        <v>1038.6199999999999</v>
      </c>
      <c r="K362" s="47">
        <f t="shared" si="22"/>
        <v>569.5</v>
      </c>
      <c r="L362" s="47">
        <f t="shared" si="22"/>
        <v>398315.13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>
        <f>5040.5+39668.26+19269.64</f>
        <v>63978.400000000001</v>
      </c>
      <c r="H367" s="18">
        <f>8960.89+79909.59+56234.6</f>
        <v>145105.07999999999</v>
      </c>
      <c r="I367" s="56">
        <f>SUM(F367:H367)</f>
        <v>209083.47999999998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>
        <f>5082.16+2619.42+677.79</f>
        <v>8379.369999999999</v>
      </c>
      <c r="H368" s="63">
        <f>8711.39+4362.27+1204.96</f>
        <v>14278.619999999999</v>
      </c>
      <c r="I368" s="56">
        <f>SUM(F368:H368)</f>
        <v>22657.989999999998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72357.77</v>
      </c>
      <c r="H369" s="47">
        <f>SUM(H367:H368)</f>
        <v>159383.69999999998</v>
      </c>
      <c r="I369" s="47">
        <f>SUM(I367:I368)</f>
        <v>231741.46999999997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20000</v>
      </c>
      <c r="H396" s="18">
        <v>119</v>
      </c>
      <c r="I396" s="18"/>
      <c r="J396" s="24" t="s">
        <v>288</v>
      </c>
      <c r="K396" s="24" t="s">
        <v>288</v>
      </c>
      <c r="L396" s="56">
        <f t="shared" si="26"/>
        <v>20119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59874.97</v>
      </c>
      <c r="H400" s="18">
        <v>355.01</v>
      </c>
      <c r="I400" s="18"/>
      <c r="J400" s="24" t="s">
        <v>288</v>
      </c>
      <c r="K400" s="24" t="s">
        <v>288</v>
      </c>
      <c r="L400" s="56">
        <f t="shared" si="26"/>
        <v>60229.98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79874.97</v>
      </c>
      <c r="H401" s="47">
        <f>SUM(H395:H400)</f>
        <v>474.01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80348.98000000001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79874.97</v>
      </c>
      <c r="H408" s="47">
        <f>H393+H401+H407</f>
        <v>474.01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80348.98000000001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32083.200000000001</v>
      </c>
      <c r="I426" s="18"/>
      <c r="J426" s="18">
        <v>2940</v>
      </c>
      <c r="K426" s="18"/>
      <c r="L426" s="56">
        <f t="shared" si="29"/>
        <v>35023.199999999997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32083.200000000001</v>
      </c>
      <c r="I427" s="47">
        <f t="shared" si="30"/>
        <v>0</v>
      </c>
      <c r="J427" s="47">
        <f t="shared" si="30"/>
        <v>2940</v>
      </c>
      <c r="K427" s="47">
        <f t="shared" si="30"/>
        <v>0</v>
      </c>
      <c r="L427" s="47">
        <f t="shared" si="30"/>
        <v>35023.199999999997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32083.200000000001</v>
      </c>
      <c r="I434" s="47">
        <f t="shared" si="32"/>
        <v>0</v>
      </c>
      <c r="J434" s="47">
        <f t="shared" si="32"/>
        <v>2940</v>
      </c>
      <c r="K434" s="47">
        <f t="shared" si="32"/>
        <v>0</v>
      </c>
      <c r="L434" s="47">
        <f t="shared" si="32"/>
        <v>35023.199999999997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51619.95</v>
      </c>
      <c r="H439" s="18"/>
      <c r="I439" s="56">
        <f t="shared" ref="I439:I445" si="33">SUM(F439:H439)</f>
        <v>51619.95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f>60336.03+38055.77</f>
        <v>98391.799999999988</v>
      </c>
      <c r="H442" s="18"/>
      <c r="I442" s="56">
        <f t="shared" si="33"/>
        <v>98391.799999999988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150011.75</v>
      </c>
      <c r="H446" s="13">
        <f>SUM(H439:H445)</f>
        <v>0</v>
      </c>
      <c r="I446" s="13">
        <f>SUM(I439:I445)</f>
        <v>150011.75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v>54734.85</v>
      </c>
      <c r="H448" s="18"/>
      <c r="I448" s="56">
        <f>SUM(F448:H448)</f>
        <v>54734.85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54734.85</v>
      </c>
      <c r="H452" s="72">
        <f>SUM(H448:H451)</f>
        <v>0</v>
      </c>
      <c r="I452" s="72">
        <f>SUM(I448:I451)</f>
        <v>54734.85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95276.9</v>
      </c>
      <c r="H459" s="18"/>
      <c r="I459" s="56">
        <f t="shared" si="34"/>
        <v>95276.9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95276.9</v>
      </c>
      <c r="H460" s="83">
        <f>SUM(H454:H459)</f>
        <v>0</v>
      </c>
      <c r="I460" s="83">
        <f>SUM(I454:I459)</f>
        <v>95276.9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150011.75</v>
      </c>
      <c r="H461" s="42">
        <f>H452+H460</f>
        <v>0</v>
      </c>
      <c r="I461" s="42">
        <f>I452+I460</f>
        <v>150011.75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701062.53</v>
      </c>
      <c r="G465" s="18">
        <v>1640.55</v>
      </c>
      <c r="H465" s="18">
        <v>141949.48000000001</v>
      </c>
      <c r="I465" s="18">
        <v>0</v>
      </c>
      <c r="J465" s="18">
        <v>49951.12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21341707.23</f>
        <v>21341707.23</v>
      </c>
      <c r="G468" s="18">
        <v>413383.54</v>
      </c>
      <c r="H468" s="18">
        <f>266818.81+278985.5</f>
        <v>545804.31000000006</v>
      </c>
      <c r="I468" s="18">
        <v>0</v>
      </c>
      <c r="J468" s="18">
        <v>80348.98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1</v>
      </c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21341708.23</v>
      </c>
      <c r="G470" s="53">
        <f>SUM(G468:G469)</f>
        <v>413383.54</v>
      </c>
      <c r="H470" s="53">
        <f>SUM(H468:H469)</f>
        <v>545804.31000000006</v>
      </c>
      <c r="I470" s="53">
        <f>SUM(I468:I469)</f>
        <v>0</v>
      </c>
      <c r="J470" s="53">
        <f>SUM(J468:J469)</f>
        <v>80348.98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20677336.71+6135</f>
        <v>20683471.710000001</v>
      </c>
      <c r="G472" s="18">
        <v>398315.13</v>
      </c>
      <c r="H472" s="18">
        <f>266818.81+281139.68</f>
        <v>547958.49</v>
      </c>
      <c r="I472" s="18">
        <v>0</v>
      </c>
      <c r="J472" s="18">
        <v>35023.199999999997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20683471.710000001</v>
      </c>
      <c r="G474" s="53">
        <f>SUM(G472:G473)</f>
        <v>398315.13</v>
      </c>
      <c r="H474" s="53">
        <f>SUM(H472:H473)</f>
        <v>547958.49</v>
      </c>
      <c r="I474" s="53">
        <f>SUM(I472:I473)</f>
        <v>0</v>
      </c>
      <c r="J474" s="53">
        <f>SUM(J472:J473)</f>
        <v>35023.199999999997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1359299.0500000007</v>
      </c>
      <c r="G476" s="53">
        <f>(G465+G470)- G474</f>
        <v>16708.959999999963</v>
      </c>
      <c r="H476" s="53">
        <f>(H465+H470)- H474</f>
        <v>139795.30000000005</v>
      </c>
      <c r="I476" s="53">
        <f>(I465+I470)- I474</f>
        <v>0</v>
      </c>
      <c r="J476" s="53">
        <f>(J465+J470)- J474</f>
        <v>95276.900000000009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>
        <v>20</v>
      </c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913</v>
      </c>
      <c r="H491" s="155" t="s">
        <v>915</v>
      </c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914</v>
      </c>
      <c r="H492" s="155" t="s">
        <v>916</v>
      </c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8100000</v>
      </c>
      <c r="G493" s="18">
        <v>2700000</v>
      </c>
      <c r="H493" s="18">
        <v>7703400</v>
      </c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5.71</v>
      </c>
      <c r="G494" s="18">
        <v>5.71</v>
      </c>
      <c r="H494" s="18">
        <v>4.54</v>
      </c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216443.65</v>
      </c>
      <c r="G495" s="18">
        <v>220000</v>
      </c>
      <c r="H495" s="18">
        <v>4410000</v>
      </c>
      <c r="I495" s="18"/>
      <c r="J495" s="18"/>
      <c r="K495" s="53">
        <f>SUM(F495:J495)</f>
        <v>4846443.6500000004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>
        <v>0</v>
      </c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216443.65</v>
      </c>
      <c r="G497" s="18">
        <v>220000</v>
      </c>
      <c r="H497" s="18">
        <v>400000</v>
      </c>
      <c r="I497" s="18"/>
      <c r="J497" s="18"/>
      <c r="K497" s="53">
        <f t="shared" si="35"/>
        <v>836443.65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0</v>
      </c>
      <c r="G498" s="204">
        <v>0</v>
      </c>
      <c r="H498" s="204">
        <v>4010000</v>
      </c>
      <c r="I498" s="204"/>
      <c r="J498" s="204"/>
      <c r="K498" s="205">
        <f t="shared" si="35"/>
        <v>4010000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0</v>
      </c>
      <c r="G499" s="18">
        <v>0</v>
      </c>
      <c r="H499" s="18">
        <v>762147</v>
      </c>
      <c r="I499" s="18"/>
      <c r="J499" s="18"/>
      <c r="K499" s="53">
        <f t="shared" si="35"/>
        <v>762147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4772147</v>
      </c>
      <c r="I500" s="42">
        <f>SUM(I498:I499)</f>
        <v>0</v>
      </c>
      <c r="J500" s="42">
        <f>SUM(J498:J499)</f>
        <v>0</v>
      </c>
      <c r="K500" s="42">
        <f t="shared" si="35"/>
        <v>4772147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>
        <v>420000</v>
      </c>
      <c r="I501" s="204"/>
      <c r="J501" s="204"/>
      <c r="K501" s="205">
        <f t="shared" si="35"/>
        <v>420000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>
        <f>88804.5+88562.5</f>
        <v>177367</v>
      </c>
      <c r="I502" s="18"/>
      <c r="J502" s="18"/>
      <c r="K502" s="53">
        <f t="shared" si="35"/>
        <v>177367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597367</v>
      </c>
      <c r="I503" s="42">
        <f>SUM(I501:I502)</f>
        <v>0</v>
      </c>
      <c r="J503" s="42">
        <f>SUM(J501:J502)</f>
        <v>0</v>
      </c>
      <c r="K503" s="42">
        <f t="shared" si="35"/>
        <v>597367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426185.73+208834.43+10490+1173.6+15558.48</f>
        <v>662242.23999999987</v>
      </c>
      <c r="G522" s="18">
        <f>F522*0.2</f>
        <v>132448.44799999997</v>
      </c>
      <c r="H522" s="18">
        <f>652382.89-73587.27-5425-78952.65</f>
        <v>494417.97</v>
      </c>
      <c r="I522" s="18">
        <f>440.55+2165.11+28504.2+7211.59+989.12</f>
        <v>39310.57</v>
      </c>
      <c r="J522" s="18">
        <f>58.98+806.93</f>
        <v>865.91</v>
      </c>
      <c r="K522" s="18">
        <v>547.41</v>
      </c>
      <c r="L522" s="88">
        <f>SUM(F522:K522)</f>
        <v>1329832.5479999997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372850.42+404480.06+80.31+26704.86+2086.4+27659.52</f>
        <v>833861.57000000007</v>
      </c>
      <c r="G523" s="18">
        <f>F523*0.2</f>
        <v>166772.31400000001</v>
      </c>
      <c r="H523" s="18">
        <f>1394567.55-91717.25-52199.72-1908.75-347296.51</f>
        <v>901445.32000000007</v>
      </c>
      <c r="I523" s="18">
        <f>54296.21-39310.57</f>
        <v>14985.64</v>
      </c>
      <c r="J523" s="18">
        <f>90+10360+1112.32</f>
        <v>11562.32</v>
      </c>
      <c r="K523" s="18">
        <v>742.5</v>
      </c>
      <c r="L523" s="88">
        <f>SUM(F523:K523)</f>
        <v>1929369.6640000001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1496103.81</v>
      </c>
      <c r="G524" s="108">
        <f t="shared" ref="G524:L524" si="36">SUM(G521:G523)</f>
        <v>299220.76199999999</v>
      </c>
      <c r="H524" s="108">
        <f t="shared" si="36"/>
        <v>1395863.29</v>
      </c>
      <c r="I524" s="108">
        <f t="shared" si="36"/>
        <v>54296.21</v>
      </c>
      <c r="J524" s="108">
        <f t="shared" si="36"/>
        <v>12428.23</v>
      </c>
      <c r="K524" s="108">
        <f t="shared" si="36"/>
        <v>1289.9099999999999</v>
      </c>
      <c r="L524" s="89">
        <f t="shared" si="36"/>
        <v>3259202.2119999998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6500+2832.72+16183.59+7938</f>
        <v>33454.31</v>
      </c>
      <c r="G527" s="18">
        <f>F527*0.2</f>
        <v>6690.8620000000001</v>
      </c>
      <c r="H527" s="18">
        <f>73587.27+5425</f>
        <v>79012.27</v>
      </c>
      <c r="I527" s="18"/>
      <c r="J527" s="18"/>
      <c r="K527" s="18"/>
      <c r="L527" s="88">
        <f>SUM(F527:K527)</f>
        <v>119157.44200000001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2415+79770+160634.01+15376.45+16183.42+14112</f>
        <v>288490.88</v>
      </c>
      <c r="G528" s="18">
        <f>F528*0.2</f>
        <v>57698.176000000007</v>
      </c>
      <c r="H528" s="18">
        <f>52199.72+1908.75</f>
        <v>54108.47</v>
      </c>
      <c r="I528" s="18"/>
      <c r="J528" s="18"/>
      <c r="K528" s="18"/>
      <c r="L528" s="88">
        <f>SUM(F528:K528)</f>
        <v>400297.52599999995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321945.19</v>
      </c>
      <c r="G529" s="89">
        <f t="shared" ref="G529:L529" si="37">SUM(G526:G528)</f>
        <v>64389.038000000008</v>
      </c>
      <c r="H529" s="89">
        <f t="shared" si="37"/>
        <v>133120.74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519454.96799999999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28400</v>
      </c>
      <c r="G532" s="18">
        <f>F532*0.2</f>
        <v>5680</v>
      </c>
      <c r="H532" s="18"/>
      <c r="I532" s="18"/>
      <c r="J532" s="18"/>
      <c r="K532" s="18"/>
      <c r="L532" s="88">
        <f>SUM(F532:K532)</f>
        <v>34080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74649</v>
      </c>
      <c r="G533" s="18">
        <f>F533*0.2</f>
        <v>14929.800000000001</v>
      </c>
      <c r="H533" s="18"/>
      <c r="I533" s="18"/>
      <c r="J533" s="18"/>
      <c r="K533" s="18"/>
      <c r="L533" s="88">
        <f>SUM(F533:K533)</f>
        <v>89578.8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103049</v>
      </c>
      <c r="G534" s="89">
        <f t="shared" ref="G534:L534" si="38">SUM(G531:G533)</f>
        <v>20609.800000000003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123658.8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91717.25</v>
      </c>
      <c r="I538" s="18"/>
      <c r="J538" s="18"/>
      <c r="K538" s="18"/>
      <c r="L538" s="88">
        <f>SUM(F538:K538)</f>
        <v>91717.25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91717.25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91717.25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78952.649999999994</v>
      </c>
      <c r="I542" s="18"/>
      <c r="J542" s="18"/>
      <c r="K542" s="18"/>
      <c r="L542" s="88">
        <f>SUM(F542:K542)</f>
        <v>78952.649999999994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347296.51</v>
      </c>
      <c r="I543" s="18"/>
      <c r="J543" s="18"/>
      <c r="K543" s="18"/>
      <c r="L543" s="88">
        <f>SUM(F543:K543)</f>
        <v>347296.51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426249.16000000003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426249.16000000003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1921098</v>
      </c>
      <c r="G545" s="89">
        <f t="shared" ref="G545:L545" si="41">G524+G529+G534+G539+G544</f>
        <v>384219.6</v>
      </c>
      <c r="H545" s="89">
        <f t="shared" si="41"/>
        <v>2046950.44</v>
      </c>
      <c r="I545" s="89">
        <f t="shared" si="41"/>
        <v>54296.21</v>
      </c>
      <c r="J545" s="89">
        <f t="shared" si="41"/>
        <v>12428.23</v>
      </c>
      <c r="K545" s="89">
        <f t="shared" si="41"/>
        <v>1289.9099999999999</v>
      </c>
      <c r="L545" s="89">
        <f t="shared" si="41"/>
        <v>4420282.3899999997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1329832.5479999997</v>
      </c>
      <c r="G550" s="87">
        <f>L527</f>
        <v>119157.44200000001</v>
      </c>
      <c r="H550" s="87">
        <f>L532</f>
        <v>34080</v>
      </c>
      <c r="I550" s="87">
        <f>L537</f>
        <v>0</v>
      </c>
      <c r="J550" s="87">
        <f>L542</f>
        <v>78952.649999999994</v>
      </c>
      <c r="K550" s="87">
        <f>SUM(F550:J550)</f>
        <v>1562022.6399999997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1929369.6640000001</v>
      </c>
      <c r="G551" s="87">
        <f>L528</f>
        <v>400297.52599999995</v>
      </c>
      <c r="H551" s="87">
        <f>L533</f>
        <v>89578.8</v>
      </c>
      <c r="I551" s="87">
        <f>L538</f>
        <v>91717.25</v>
      </c>
      <c r="J551" s="87">
        <f>L543</f>
        <v>347296.51</v>
      </c>
      <c r="K551" s="87">
        <f>SUM(F551:J551)</f>
        <v>2858259.75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3259202.2119999998</v>
      </c>
      <c r="G552" s="89">
        <f t="shared" si="42"/>
        <v>519454.96799999999</v>
      </c>
      <c r="H552" s="89">
        <f t="shared" si="42"/>
        <v>123658.8</v>
      </c>
      <c r="I552" s="89">
        <f t="shared" si="42"/>
        <v>91717.25</v>
      </c>
      <c r="J552" s="89">
        <f t="shared" si="42"/>
        <v>426249.16000000003</v>
      </c>
      <c r="K552" s="89">
        <f t="shared" si="42"/>
        <v>4420282.3899999997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286580.65000000002</v>
      </c>
      <c r="H582" s="18">
        <v>538745.01</v>
      </c>
      <c r="I582" s="87">
        <f t="shared" si="47"/>
        <v>825325.66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106323.8</v>
      </c>
      <c r="I583" s="87">
        <f t="shared" si="47"/>
        <v>106323.8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33780.39</v>
      </c>
      <c r="I584" s="87">
        <f t="shared" si="47"/>
        <v>33780.39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>
        <f>200934.95+12574.09+24348.04</f>
        <v>237857.08000000002</v>
      </c>
      <c r="J591" s="18">
        <f>200934.95+18338.35+26400.66</f>
        <v>245673.96000000002</v>
      </c>
      <c r="K591" s="104">
        <f t="shared" ref="K591:K597" si="48">SUM(H591:J591)</f>
        <v>483531.04000000004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>
        <v>78952.649999999994</v>
      </c>
      <c r="J592" s="18">
        <v>347296.51</v>
      </c>
      <c r="K592" s="104">
        <f t="shared" si="48"/>
        <v>426249.16000000003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159734.75</v>
      </c>
      <c r="K593" s="104">
        <f t="shared" si="48"/>
        <v>159734.75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5219.5</v>
      </c>
      <c r="J594" s="18">
        <v>76522.55</v>
      </c>
      <c r="K594" s="104">
        <f t="shared" si="48"/>
        <v>81742.05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322029.23</v>
      </c>
      <c r="J598" s="108">
        <f>SUM(J591:J597)</f>
        <v>829227.77</v>
      </c>
      <c r="K598" s="108">
        <f>SUM(K591:K597)</f>
        <v>1151257.0000000002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>
        <v>45181.83</v>
      </c>
      <c r="J604" s="18">
        <f>99843.2</f>
        <v>99843.199999999997</v>
      </c>
      <c r="K604" s="104">
        <f>SUM(H604:J604)</f>
        <v>145025.03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45181.83</v>
      </c>
      <c r="J605" s="108">
        <f>SUM(J602:J604)</f>
        <v>99843.199999999997</v>
      </c>
      <c r="K605" s="108">
        <f>SUM(K602:K604)</f>
        <v>145025.03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2344433.6800000002</v>
      </c>
      <c r="H617" s="109">
        <f>SUM(F52)</f>
        <v>2344433.6800000002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47326.950000000004</v>
      </c>
      <c r="H618" s="109">
        <f>SUM(G52)</f>
        <v>47326.95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248530.93</v>
      </c>
      <c r="H619" s="109">
        <f>SUM(H52)</f>
        <v>248530.93000000002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150011.75</v>
      </c>
      <c r="H621" s="109">
        <f>SUM(J52)</f>
        <v>150011.75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1359299.05</v>
      </c>
      <c r="H622" s="109">
        <f>F476</f>
        <v>1359299.0500000007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16708.96</v>
      </c>
      <c r="H623" s="109">
        <f>G476</f>
        <v>16708.959999999963</v>
      </c>
      <c r="I623" s="121" t="s">
        <v>102</v>
      </c>
      <c r="J623" s="109">
        <f t="shared" si="50"/>
        <v>3.637978807091713E-11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139795.29999999999</v>
      </c>
      <c r="H624" s="109">
        <f>H476</f>
        <v>139795.30000000005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95276.9</v>
      </c>
      <c r="H626" s="109">
        <f>J476</f>
        <v>95276.900000000009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21341707.23</v>
      </c>
      <c r="H627" s="104">
        <f>SUM(F468)</f>
        <v>21341707.23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413383.54</v>
      </c>
      <c r="H628" s="104">
        <f>SUM(G468)</f>
        <v>413383.54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545804.30999999994</v>
      </c>
      <c r="H629" s="104">
        <f>SUM(H468)</f>
        <v>545804.31000000006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80348.98</v>
      </c>
      <c r="H631" s="104">
        <f>SUM(J468)</f>
        <v>80348.98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20683471.709999997</v>
      </c>
      <c r="H632" s="104">
        <f>SUM(F472)</f>
        <v>20683471.710000001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547958.49</v>
      </c>
      <c r="H633" s="104">
        <f>SUM(H472)</f>
        <v>547958.49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231741.46999999997</v>
      </c>
      <c r="H634" s="104">
        <f>I369</f>
        <v>231741.46999999997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398315.13</v>
      </c>
      <c r="H635" s="104">
        <f>SUM(G472)</f>
        <v>398315.13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80348.98000000001</v>
      </c>
      <c r="H637" s="164">
        <f>SUM(J468)</f>
        <v>80348.98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35023.199999999997</v>
      </c>
      <c r="H638" s="164">
        <f>SUM(J472)</f>
        <v>35023.199999999997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150011.75</v>
      </c>
      <c r="H640" s="104">
        <f>SUM(G461)</f>
        <v>150011.75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150011.75</v>
      </c>
      <c r="H642" s="104">
        <f>SUM(I461)</f>
        <v>150011.75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474.01</v>
      </c>
      <c r="H644" s="104">
        <f>H408</f>
        <v>474.01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79874.97</v>
      </c>
      <c r="H645" s="104">
        <f>G408</f>
        <v>79874.97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80348.98</v>
      </c>
      <c r="H646" s="104">
        <f>L408</f>
        <v>80348.98000000001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1151257.0000000002</v>
      </c>
      <c r="H647" s="104">
        <f>L208+L226+L244</f>
        <v>1151257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145025.03</v>
      </c>
      <c r="H648" s="104">
        <f>(J257+J338)-(J255+J336)</f>
        <v>145025.02999999997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322029.23</v>
      </c>
      <c r="H650" s="104">
        <f>I598</f>
        <v>322029.23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829227.77000000014</v>
      </c>
      <c r="H651" s="104">
        <f>J598</f>
        <v>829227.77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79874.97</v>
      </c>
      <c r="H655" s="104">
        <f>K266+K347</f>
        <v>79874.97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6892388.7999999989</v>
      </c>
      <c r="H660" s="19">
        <f>(L247+L328+L360)</f>
        <v>13034321.109999999</v>
      </c>
      <c r="I660" s="19">
        <f>SUM(F660:H660)</f>
        <v>19926709.909999996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127301.69771907208</v>
      </c>
      <c r="H661" s="19">
        <f>(L360/IF(SUM(L358:L360)=0,1,SUM(L358:L360))*(SUM(G97:G110)))</f>
        <v>238285.11228092792</v>
      </c>
      <c r="I661" s="19">
        <f>SUM(F661:H661)</f>
        <v>365586.81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322029.23</v>
      </c>
      <c r="H662" s="19">
        <f>(L244+L325)-(J244+J325)</f>
        <v>829227.77000000014</v>
      </c>
      <c r="I662" s="19">
        <f>SUM(F662:H662)</f>
        <v>1151257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331762.48000000004</v>
      </c>
      <c r="H663" s="199">
        <f>SUM(H575:H587)+SUM(J602:J604)+L613</f>
        <v>778692.4</v>
      </c>
      <c r="I663" s="19">
        <f>SUM(F663:H663)</f>
        <v>1110454.8800000001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6111295.3922809269</v>
      </c>
      <c r="H664" s="19">
        <f>H660-SUM(H661:H663)</f>
        <v>11188115.827719072</v>
      </c>
      <c r="I664" s="19">
        <f>I660-SUM(I661:I663)</f>
        <v>17299411.219999995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415.58</v>
      </c>
      <c r="H665" s="248">
        <v>824.85</v>
      </c>
      <c r="I665" s="19">
        <f>SUM(F665:H665)</f>
        <v>1240.43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14705.46</v>
      </c>
      <c r="H667" s="19">
        <f>ROUND(H664/H665,2)</f>
        <v>13563.82</v>
      </c>
      <c r="I667" s="19">
        <f>ROUND(I664/I665,2)</f>
        <v>13946.3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-10.61</v>
      </c>
      <c r="I670" s="19">
        <f>SUM(F670:H670)</f>
        <v>-10.61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>
        <f>ROUND((G664+G669)/(G665+G670),2)</f>
        <v>14705.46</v>
      </c>
      <c r="H672" s="19">
        <f>ROUND((H664+H669)/(H665+H670),2)</f>
        <v>13740.56</v>
      </c>
      <c r="I672" s="19">
        <f>ROUND((I664+I669)/(I665+I670),2)</f>
        <v>14066.62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Hollis Brookline Cooperative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5178105.01</v>
      </c>
      <c r="C9" s="229">
        <f>'DOE25'!G197+'DOE25'!G215+'DOE25'!G233+'DOE25'!G276+'DOE25'!G295+'DOE25'!G314</f>
        <v>2223740.06</v>
      </c>
    </row>
    <row r="10" spans="1:3" x14ac:dyDescent="0.2">
      <c r="A10" t="s">
        <v>778</v>
      </c>
      <c r="B10" s="240">
        <v>5135105.01</v>
      </c>
      <c r="C10" s="240">
        <v>2213775.14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v>43000</v>
      </c>
      <c r="C12" s="240">
        <f>3289.5+6675.42</f>
        <v>9964.92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5178105.01</v>
      </c>
      <c r="C13" s="231">
        <f>SUM(C10:C12)</f>
        <v>2223740.06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1788445.2000000002</v>
      </c>
      <c r="C18" s="229">
        <f>'DOE25'!G198+'DOE25'!G216+'DOE25'!G234+'DOE25'!G277+'DOE25'!G296+'DOE25'!G315</f>
        <v>692338</v>
      </c>
    </row>
    <row r="19" spans="1:3" x14ac:dyDescent="0.2">
      <c r="A19" t="s">
        <v>778</v>
      </c>
      <c r="B19" s="240">
        <v>987014.44</v>
      </c>
      <c r="C19" s="240">
        <v>382101.34</v>
      </c>
    </row>
    <row r="20" spans="1:3" x14ac:dyDescent="0.2">
      <c r="A20" t="s">
        <v>779</v>
      </c>
      <c r="B20" s="240">
        <v>613314.49</v>
      </c>
      <c r="C20" s="240">
        <v>237402.7</v>
      </c>
    </row>
    <row r="21" spans="1:3" x14ac:dyDescent="0.2">
      <c r="A21" t="s">
        <v>780</v>
      </c>
      <c r="B21" s="240">
        <v>188116.27</v>
      </c>
      <c r="C21" s="240">
        <v>72833.960000000006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1788445.2</v>
      </c>
      <c r="C22" s="231">
        <f>SUM(C19:C21)</f>
        <v>692338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391481.5</v>
      </c>
      <c r="C36" s="235">
        <f>'DOE25'!G200+'DOE25'!G218+'DOE25'!G236+'DOE25'!G279+'DOE25'!G298+'DOE25'!G317</f>
        <v>187093.55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391481.5</v>
      </c>
      <c r="C39" s="240">
        <v>187093.55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391481.5</v>
      </c>
      <c r="C40" s="231">
        <f>SUM(C37:C39)</f>
        <v>187093.55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Hollis Brookline Cooperative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12135056.009999998</v>
      </c>
      <c r="D5" s="20">
        <f>SUM('DOE25'!L197:L200)+SUM('DOE25'!L215:L218)+SUM('DOE25'!L233:L236)-F5-G5</f>
        <v>12060820.799999997</v>
      </c>
      <c r="E5" s="243"/>
      <c r="F5" s="255">
        <f>SUM('DOE25'!J197:J200)+SUM('DOE25'!J215:J218)+SUM('DOE25'!J233:J236)</f>
        <v>45288.800000000003</v>
      </c>
      <c r="G5" s="53">
        <f>SUM('DOE25'!K197:K200)+SUM('DOE25'!K215:K218)+SUM('DOE25'!K233:K236)</f>
        <v>28946.41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1685008.82</v>
      </c>
      <c r="D6" s="20">
        <f>'DOE25'!L202+'DOE25'!L220+'DOE25'!L238-F6-G6</f>
        <v>1683014.82</v>
      </c>
      <c r="E6" s="243"/>
      <c r="F6" s="255">
        <f>'DOE25'!J202+'DOE25'!J220+'DOE25'!J238</f>
        <v>760</v>
      </c>
      <c r="G6" s="53">
        <f>'DOE25'!K202+'DOE25'!K220+'DOE25'!K238</f>
        <v>1234</v>
      </c>
      <c r="H6" s="259"/>
    </row>
    <row r="7" spans="1:9" x14ac:dyDescent="0.2">
      <c r="A7" s="32">
        <v>2200</v>
      </c>
      <c r="B7" t="s">
        <v>833</v>
      </c>
      <c r="C7" s="245">
        <f t="shared" si="0"/>
        <v>657446.9</v>
      </c>
      <c r="D7" s="20">
        <f>'DOE25'!L203+'DOE25'!L221+'DOE25'!L239-F7-G7</f>
        <v>563498.15</v>
      </c>
      <c r="E7" s="243"/>
      <c r="F7" s="255">
        <f>'DOE25'!J203+'DOE25'!J221+'DOE25'!J239</f>
        <v>93873.75</v>
      </c>
      <c r="G7" s="53">
        <f>'DOE25'!K203+'DOE25'!K221+'DOE25'!K239</f>
        <v>75</v>
      </c>
      <c r="H7" s="259"/>
    </row>
    <row r="8" spans="1:9" x14ac:dyDescent="0.2">
      <c r="A8" s="32">
        <v>2300</v>
      </c>
      <c r="B8" t="s">
        <v>801</v>
      </c>
      <c r="C8" s="245">
        <f t="shared" si="0"/>
        <v>544199.81000000017</v>
      </c>
      <c r="D8" s="243"/>
      <c r="E8" s="20">
        <f>'DOE25'!L204+'DOE25'!L222+'DOE25'!L240-F8-G8-D9-D11</f>
        <v>538887.69000000018</v>
      </c>
      <c r="F8" s="255">
        <f>'DOE25'!J204+'DOE25'!J222+'DOE25'!J240</f>
        <v>0</v>
      </c>
      <c r="G8" s="53">
        <f>'DOE25'!K204+'DOE25'!K222+'DOE25'!K240</f>
        <v>5312.12</v>
      </c>
      <c r="H8" s="259"/>
    </row>
    <row r="9" spans="1:9" x14ac:dyDescent="0.2">
      <c r="A9" s="32">
        <v>2310</v>
      </c>
      <c r="B9" t="s">
        <v>817</v>
      </c>
      <c r="C9" s="245">
        <f t="shared" si="0"/>
        <v>55832.46</v>
      </c>
      <c r="D9" s="244">
        <v>55832.46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10250</v>
      </c>
      <c r="D10" s="243"/>
      <c r="E10" s="244">
        <v>10250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203171.11</v>
      </c>
      <c r="D11" s="244">
        <v>203171.11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1179197.27</v>
      </c>
      <c r="D12" s="20">
        <f>'DOE25'!L205+'DOE25'!L223+'DOE25'!L241-F12-G12</f>
        <v>1164651.97</v>
      </c>
      <c r="E12" s="243"/>
      <c r="F12" s="255">
        <f>'DOE25'!J205+'DOE25'!J223+'DOE25'!J241</f>
        <v>269</v>
      </c>
      <c r="G12" s="53">
        <f>'DOE25'!K205+'DOE25'!K223+'DOE25'!K241</f>
        <v>14276.3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804.43000000000006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804.43000000000006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1392284.48</v>
      </c>
      <c r="D14" s="20">
        <f>'DOE25'!L207+'DOE25'!L225+'DOE25'!L243-F14-G14</f>
        <v>1332356.69</v>
      </c>
      <c r="E14" s="243"/>
      <c r="F14" s="255">
        <f>'DOE25'!J207+'DOE25'!J225+'DOE25'!J243</f>
        <v>4833.4799999999996</v>
      </c>
      <c r="G14" s="53">
        <f>'DOE25'!K207+'DOE25'!K225+'DOE25'!K243</f>
        <v>55094.31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1151257</v>
      </c>
      <c r="D15" s="20">
        <f>'DOE25'!L208+'DOE25'!L226+'DOE25'!L244-F15-G15</f>
        <v>1151257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127076.45000000001</v>
      </c>
      <c r="D22" s="243"/>
      <c r="E22" s="243"/>
      <c r="F22" s="255">
        <f>'DOE25'!L255+'DOE25'!L336</f>
        <v>127076.45000000001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1496084</v>
      </c>
      <c r="D25" s="243"/>
      <c r="E25" s="243"/>
      <c r="F25" s="258"/>
      <c r="G25" s="256"/>
      <c r="H25" s="257">
        <f>'DOE25'!L260+'DOE25'!L261+'DOE25'!L341+'DOE25'!L342</f>
        <v>1496084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189231.65000000002</v>
      </c>
      <c r="D29" s="20">
        <f>'DOE25'!L358+'DOE25'!L359+'DOE25'!L360-'DOE25'!I367-F29-G29</f>
        <v>187623.53000000003</v>
      </c>
      <c r="E29" s="243"/>
      <c r="F29" s="255">
        <f>'DOE25'!J358+'DOE25'!J359+'DOE25'!J360</f>
        <v>1038.6199999999999</v>
      </c>
      <c r="G29" s="53">
        <f>'DOE25'!K358+'DOE25'!K359+'DOE25'!K360</f>
        <v>569.5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524136.49000000005</v>
      </c>
      <c r="D31" s="20">
        <f>'DOE25'!L290+'DOE25'!L309+'DOE25'!L328+'DOE25'!L333+'DOE25'!L334+'DOE25'!L335-F31-G31</f>
        <v>524136.49000000005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18926363.02</v>
      </c>
      <c r="E33" s="246">
        <f>SUM(E5:E31)</f>
        <v>549137.69000000018</v>
      </c>
      <c r="F33" s="246">
        <f>SUM(F5:F31)</f>
        <v>273140.09999999998</v>
      </c>
      <c r="G33" s="246">
        <f>SUM(G5:G31)</f>
        <v>106312.07</v>
      </c>
      <c r="H33" s="246">
        <f>SUM(H5:H31)</f>
        <v>1496084</v>
      </c>
    </row>
    <row r="35" spans="2:8" ht="12" thickBot="1" x14ac:dyDescent="0.25">
      <c r="B35" s="253" t="s">
        <v>846</v>
      </c>
      <c r="D35" s="254">
        <f>E33</f>
        <v>549137.69000000018</v>
      </c>
      <c r="E35" s="249"/>
    </row>
    <row r="36" spans="2:8" ht="12" thickTop="1" x14ac:dyDescent="0.2">
      <c r="B36" t="s">
        <v>814</v>
      </c>
      <c r="D36" s="20">
        <f>D33</f>
        <v>18926363.02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 Brookline Cooperative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1552345.45</v>
      </c>
      <c r="D8" s="95">
        <f>'DOE25'!G9</f>
        <v>37559.660000000003</v>
      </c>
      <c r="E8" s="95">
        <f>'DOE25'!H9</f>
        <v>0</v>
      </c>
      <c r="F8" s="95">
        <f>'DOE25'!I9</f>
        <v>0</v>
      </c>
      <c r="G8" s="95">
        <f>'DOE25'!J9</f>
        <v>51619.95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7888.77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752532.59</v>
      </c>
      <c r="D11" s="95">
        <f>'DOE25'!G12</f>
        <v>0</v>
      </c>
      <c r="E11" s="95">
        <f>'DOE25'!H12</f>
        <v>165576.04999999999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15372.87</v>
      </c>
      <c r="D12" s="95">
        <f>'DOE25'!G13</f>
        <v>1835.76</v>
      </c>
      <c r="E12" s="95">
        <f>'DOE25'!H13</f>
        <v>82954.880000000005</v>
      </c>
      <c r="F12" s="95">
        <f>'DOE25'!I13</f>
        <v>0</v>
      </c>
      <c r="G12" s="95">
        <f>'DOE25'!J13</f>
        <v>98391.799999999988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884.23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7931.53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16214.2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-804.43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2344433.6800000002</v>
      </c>
      <c r="D18" s="41">
        <f>SUM(D8:D17)</f>
        <v>47326.950000000004</v>
      </c>
      <c r="E18" s="41">
        <f>SUM(E8:E17)</f>
        <v>248530.93</v>
      </c>
      <c r="F18" s="41">
        <f>SUM(F8:F17)</f>
        <v>0</v>
      </c>
      <c r="G18" s="41">
        <f>SUM(G8:G17)</f>
        <v>150011.75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772479.4</v>
      </c>
      <c r="D21" s="95">
        <f>'DOE25'!G22</f>
        <v>9639.51</v>
      </c>
      <c r="E21" s="95">
        <f>'DOE25'!H22</f>
        <v>81254.880000000034</v>
      </c>
      <c r="F21" s="95">
        <f>'DOE25'!I22</f>
        <v>0</v>
      </c>
      <c r="G21" s="95">
        <f>'DOE25'!J22</f>
        <v>54734.85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214615.77</v>
      </c>
      <c r="D23" s="95">
        <f>'DOE25'!G24</f>
        <v>716.39</v>
      </c>
      <c r="E23" s="95">
        <f>'DOE25'!H24</f>
        <v>27480.75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-2185.5399999999981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225</v>
      </c>
      <c r="D29" s="95">
        <f>'DOE25'!G30</f>
        <v>20262.09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985134.63</v>
      </c>
      <c r="D31" s="41">
        <f>SUM(D21:D30)</f>
        <v>30617.989999999998</v>
      </c>
      <c r="E31" s="41">
        <f>SUM(E21:E30)</f>
        <v>108735.63000000003</v>
      </c>
      <c r="F31" s="41">
        <f>SUM(F21:F30)</f>
        <v>0</v>
      </c>
      <c r="G31" s="41">
        <f>SUM(G21:G30)</f>
        <v>54734.85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7931.53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16214.2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8777.43</v>
      </c>
      <c r="E42" s="95">
        <f>'DOE25'!H43</f>
        <v>139795.29999999999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287000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155833.21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142000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95276.9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758251.64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1359299.05</v>
      </c>
      <c r="D50" s="41">
        <f>SUM(D34:D49)</f>
        <v>16708.96</v>
      </c>
      <c r="E50" s="41">
        <f>SUM(E34:E49)</f>
        <v>139795.29999999999</v>
      </c>
      <c r="F50" s="41">
        <f>SUM(F34:F49)</f>
        <v>0</v>
      </c>
      <c r="G50" s="41">
        <f>SUM(G34:G49)</f>
        <v>95276.9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2344433.6800000002</v>
      </c>
      <c r="D51" s="41">
        <f>D50+D31</f>
        <v>47326.95</v>
      </c>
      <c r="E51" s="41">
        <f>E50+E31</f>
        <v>248530.93000000002</v>
      </c>
      <c r="F51" s="41">
        <f>F50+F31</f>
        <v>0</v>
      </c>
      <c r="G51" s="41">
        <f>G50+G31</f>
        <v>150011.75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14919589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1908.17</v>
      </c>
      <c r="D59" s="95">
        <f>'DOE25'!G96</f>
        <v>43.92</v>
      </c>
      <c r="E59" s="95">
        <f>'DOE25'!H96</f>
        <v>0</v>
      </c>
      <c r="F59" s="95">
        <f>'DOE25'!I96</f>
        <v>0</v>
      </c>
      <c r="G59" s="95">
        <f>'DOE25'!J96</f>
        <v>474.01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365586.81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89065.400000000009</v>
      </c>
      <c r="D61" s="95">
        <f>SUM('DOE25'!G98:G110)</f>
        <v>0</v>
      </c>
      <c r="E61" s="95">
        <f>SUM('DOE25'!H98:H110)</f>
        <v>278258.28999999998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90973.57</v>
      </c>
      <c r="D62" s="130">
        <f>SUM(D57:D61)</f>
        <v>365630.73</v>
      </c>
      <c r="E62" s="130">
        <f>SUM(E57:E61)</f>
        <v>278258.28999999998</v>
      </c>
      <c r="F62" s="130">
        <f>SUM(F57:F61)</f>
        <v>0</v>
      </c>
      <c r="G62" s="130">
        <f>SUM(G57:G61)</f>
        <v>474.01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15010562.57</v>
      </c>
      <c r="D63" s="22">
        <f>D56+D62</f>
        <v>365630.73</v>
      </c>
      <c r="E63" s="22">
        <f>E56+E62</f>
        <v>278258.28999999998</v>
      </c>
      <c r="F63" s="22">
        <f>F56+F62</f>
        <v>0</v>
      </c>
      <c r="G63" s="22">
        <f>G56+G62</f>
        <v>474.01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2994005.17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2103120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5097125.17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341984.34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671603.99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9498.1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2774.69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1023086.43</v>
      </c>
      <c r="D78" s="130">
        <f>SUM(D72:D77)</f>
        <v>2774.69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6120211.5999999996</v>
      </c>
      <c r="D81" s="130">
        <f>SUM(D79:D80)+D78+D70</f>
        <v>2774.69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13117.26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206735.16</v>
      </c>
      <c r="D88" s="95">
        <f>SUM('DOE25'!G153:G161)</f>
        <v>31860.86</v>
      </c>
      <c r="E88" s="95">
        <f>SUM('DOE25'!H153:H161)</f>
        <v>266818.81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206735.16</v>
      </c>
      <c r="D91" s="131">
        <f>SUM(D85:D90)</f>
        <v>44978.12</v>
      </c>
      <c r="E91" s="131">
        <f>SUM(E85:E90)</f>
        <v>266818.81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79874.97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4197.8999999999996</v>
      </c>
      <c r="D100" s="95">
        <f>SUM('DOE25'!G186:G187)</f>
        <v>0</v>
      </c>
      <c r="E100" s="95">
        <f>SUM('DOE25'!H186:H187)</f>
        <v>727.21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4197.8999999999996</v>
      </c>
      <c r="D103" s="86">
        <f>SUM(D93:D102)</f>
        <v>0</v>
      </c>
      <c r="E103" s="86">
        <f>SUM(E93:E102)</f>
        <v>727.21</v>
      </c>
      <c r="F103" s="86">
        <f>SUM(F93:F102)</f>
        <v>0</v>
      </c>
      <c r="G103" s="86">
        <f>SUM(G93:G102)</f>
        <v>79874.97</v>
      </c>
    </row>
    <row r="104" spans="1:7" ht="12.75" thickTop="1" thickBot="1" x14ac:dyDescent="0.25">
      <c r="A104" s="33" t="s">
        <v>764</v>
      </c>
      <c r="C104" s="86">
        <f>C63+C81+C91+C103</f>
        <v>21341707.23</v>
      </c>
      <c r="D104" s="86">
        <f>D63+D81+D91+D103</f>
        <v>413383.54</v>
      </c>
      <c r="E104" s="86">
        <f>E63+E81+E91+E103</f>
        <v>545804.30999999994</v>
      </c>
      <c r="F104" s="86">
        <f>F63+F81+F91+F103</f>
        <v>0</v>
      </c>
      <c r="G104" s="86">
        <f>G63+G81+G103</f>
        <v>80348.98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7586844.2699999977</v>
      </c>
      <c r="D109" s="24" t="s">
        <v>288</v>
      </c>
      <c r="E109" s="95">
        <f>('DOE25'!L276)+('DOE25'!L295)+('DOE25'!L314)</f>
        <v>45656.74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3783555.1599999992</v>
      </c>
      <c r="D110" s="24" t="s">
        <v>288</v>
      </c>
      <c r="E110" s="95">
        <f>('DOE25'!L277)+('DOE25'!L296)+('DOE25'!L315)</f>
        <v>180775.02000000002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32772.729999999996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731883.85</v>
      </c>
      <c r="D112" s="24" t="s">
        <v>288</v>
      </c>
      <c r="E112" s="95">
        <f>+('DOE25'!L279)+('DOE25'!L298)+('DOE25'!L317)</f>
        <v>273666.58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12135056.009999996</v>
      </c>
      <c r="D115" s="86">
        <f>SUM(D109:D114)</f>
        <v>0</v>
      </c>
      <c r="E115" s="86">
        <f>SUM(E109:E114)</f>
        <v>500098.34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1685008.82</v>
      </c>
      <c r="D118" s="24" t="s">
        <v>288</v>
      </c>
      <c r="E118" s="95">
        <f>+('DOE25'!L281)+('DOE25'!L300)+('DOE25'!L319)</f>
        <v>2903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657446.9</v>
      </c>
      <c r="D119" s="24" t="s">
        <v>288</v>
      </c>
      <c r="E119" s="95">
        <f>+('DOE25'!L282)+('DOE25'!L301)+('DOE25'!L320)</f>
        <v>7861.79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803203.38000000012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1179197.27</v>
      </c>
      <c r="D121" s="24" t="s">
        <v>288</v>
      </c>
      <c r="E121" s="95">
        <f>+('DOE25'!L284)+('DOE25'!L303)+('DOE25'!L322)</f>
        <v>11760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804.43000000000006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1392284.48</v>
      </c>
      <c r="D123" s="24" t="s">
        <v>288</v>
      </c>
      <c r="E123" s="95">
        <f>+('DOE25'!L286)+('DOE25'!L305)+('DOE25'!L324)</f>
        <v>1263.19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1151257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250.17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398315.13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6869202.2800000012</v>
      </c>
      <c r="D128" s="86">
        <f>SUM(D118:D127)</f>
        <v>398315.13</v>
      </c>
      <c r="E128" s="86">
        <f>SUM(E118:E127)</f>
        <v>24038.149999999998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103254.45000000001</v>
      </c>
      <c r="D130" s="24" t="s">
        <v>288</v>
      </c>
      <c r="E130" s="129">
        <f>'DOE25'!L336</f>
        <v>23822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836443.65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659640.35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80348.98000000001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-474.01000000000931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1679213.4200000002</v>
      </c>
      <c r="D144" s="141">
        <f>SUM(D130:D143)</f>
        <v>0</v>
      </c>
      <c r="E144" s="141">
        <f>SUM(E130:E143)</f>
        <v>23822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20683471.710000001</v>
      </c>
      <c r="D145" s="86">
        <f>(D115+D128+D144)</f>
        <v>398315.13</v>
      </c>
      <c r="E145" s="86">
        <f>(E115+E128+E144)</f>
        <v>547958.49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8/96</v>
      </c>
      <c r="C152" s="152" t="str">
        <f>'DOE25'!G491</f>
        <v>8/96</v>
      </c>
      <c r="D152" s="152" t="str">
        <f>'DOE25'!H491</f>
        <v>8/04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8/16</v>
      </c>
      <c r="C153" s="152" t="str">
        <f>'DOE25'!G492</f>
        <v>8/16</v>
      </c>
      <c r="D153" s="152" t="str">
        <f>'DOE25'!H492</f>
        <v>8/24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8100000</v>
      </c>
      <c r="C154" s="137">
        <f>'DOE25'!G493</f>
        <v>2700000</v>
      </c>
      <c r="D154" s="137">
        <f>'DOE25'!H493</f>
        <v>7703400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5.71</v>
      </c>
      <c r="C155" s="137">
        <f>'DOE25'!G494</f>
        <v>5.71</v>
      </c>
      <c r="D155" s="137">
        <f>'DOE25'!H494</f>
        <v>4.54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216443.65</v>
      </c>
      <c r="C156" s="137">
        <f>'DOE25'!G495</f>
        <v>220000</v>
      </c>
      <c r="D156" s="137">
        <f>'DOE25'!H495</f>
        <v>4410000</v>
      </c>
      <c r="E156" s="137">
        <f>'DOE25'!I495</f>
        <v>0</v>
      </c>
      <c r="F156" s="137">
        <f>'DOE25'!J495</f>
        <v>0</v>
      </c>
      <c r="G156" s="138">
        <f>SUM(B156:F156)</f>
        <v>4846443.6500000004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216443.65</v>
      </c>
      <c r="C158" s="137">
        <f>'DOE25'!G497</f>
        <v>220000</v>
      </c>
      <c r="D158" s="137">
        <f>'DOE25'!H497</f>
        <v>400000</v>
      </c>
      <c r="E158" s="137">
        <f>'DOE25'!I497</f>
        <v>0</v>
      </c>
      <c r="F158" s="137">
        <f>'DOE25'!J497</f>
        <v>0</v>
      </c>
      <c r="G158" s="138">
        <f t="shared" si="0"/>
        <v>836443.65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4010000</v>
      </c>
      <c r="E159" s="137">
        <f>'DOE25'!I498</f>
        <v>0</v>
      </c>
      <c r="F159" s="137">
        <f>'DOE25'!J498</f>
        <v>0</v>
      </c>
      <c r="G159" s="138">
        <f t="shared" si="0"/>
        <v>4010000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762147</v>
      </c>
      <c r="E160" s="137">
        <f>'DOE25'!I499</f>
        <v>0</v>
      </c>
      <c r="F160" s="137">
        <f>'DOE25'!J499</f>
        <v>0</v>
      </c>
      <c r="G160" s="138">
        <f t="shared" si="0"/>
        <v>762147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4772147</v>
      </c>
      <c r="E161" s="137">
        <f>'DOE25'!I500</f>
        <v>0</v>
      </c>
      <c r="F161" s="137">
        <f>'DOE25'!J500</f>
        <v>0</v>
      </c>
      <c r="G161" s="138">
        <f t="shared" si="0"/>
        <v>4772147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420000</v>
      </c>
      <c r="E162" s="137">
        <f>'DOE25'!I501</f>
        <v>0</v>
      </c>
      <c r="F162" s="137">
        <f>'DOE25'!J501</f>
        <v>0</v>
      </c>
      <c r="G162" s="138">
        <f t="shared" si="0"/>
        <v>420000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177367</v>
      </c>
      <c r="E163" s="137">
        <f>'DOE25'!I502</f>
        <v>0</v>
      </c>
      <c r="F163" s="137">
        <f>'DOE25'!J502</f>
        <v>0</v>
      </c>
      <c r="G163" s="138">
        <f t="shared" si="0"/>
        <v>177367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597367</v>
      </c>
      <c r="E164" s="137">
        <f>'DOE25'!I503</f>
        <v>0</v>
      </c>
      <c r="F164" s="137">
        <f>'DOE25'!J503</f>
        <v>0</v>
      </c>
      <c r="G164" s="138">
        <f t="shared" si="0"/>
        <v>597367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Hollis Brookline Cooperative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14705</v>
      </c>
    </row>
    <row r="6" spans="1:4" x14ac:dyDescent="0.2">
      <c r="B6" t="s">
        <v>62</v>
      </c>
      <c r="C6" s="179">
        <f>IF('DOE25'!H665+'DOE25'!H670=0,0,ROUND('DOE25'!H672,0))</f>
        <v>13741</v>
      </c>
    </row>
    <row r="7" spans="1:4" x14ac:dyDescent="0.2">
      <c r="B7" t="s">
        <v>704</v>
      </c>
      <c r="C7" s="179">
        <f>IF('DOE25'!I665+'DOE25'!I670=0,0,ROUND('DOE25'!I672,0))</f>
        <v>14067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7632501</v>
      </c>
      <c r="D10" s="182">
        <f>ROUND((C10/$C$28)*100,1)</f>
        <v>37.700000000000003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3964330</v>
      </c>
      <c r="D11" s="182">
        <f>ROUND((C11/$C$28)*100,1)</f>
        <v>19.600000000000001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32773</v>
      </c>
      <c r="D12" s="182">
        <f>ROUND((C12/$C$28)*100,1)</f>
        <v>0.2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1005550</v>
      </c>
      <c r="D13" s="182">
        <f>ROUND((C13/$C$28)*100,1)</f>
        <v>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1687912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665309</v>
      </c>
      <c r="D16" s="182">
        <f t="shared" si="0"/>
        <v>3.3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803454</v>
      </c>
      <c r="D17" s="182">
        <f t="shared" si="0"/>
        <v>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1190957</v>
      </c>
      <c r="D18" s="182">
        <f t="shared" si="0"/>
        <v>5.9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804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1393548</v>
      </c>
      <c r="D20" s="182">
        <f t="shared" si="0"/>
        <v>6.9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1151257</v>
      </c>
      <c r="D21" s="182">
        <f t="shared" si="0"/>
        <v>5.7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659640</v>
      </c>
      <c r="D25" s="182">
        <f t="shared" si="0"/>
        <v>3.3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32728.190000000002</v>
      </c>
      <c r="D27" s="182">
        <f t="shared" si="0"/>
        <v>0.2</v>
      </c>
    </row>
    <row r="28" spans="1:4" x14ac:dyDescent="0.2">
      <c r="B28" s="187" t="s">
        <v>722</v>
      </c>
      <c r="C28" s="180">
        <f>SUM(C10:C27)</f>
        <v>20220763.190000001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127076</v>
      </c>
    </row>
    <row r="30" spans="1:4" x14ac:dyDescent="0.2">
      <c r="B30" s="187" t="s">
        <v>728</v>
      </c>
      <c r="C30" s="180">
        <f>SUM(C28:C29)</f>
        <v>20347839.190000001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836444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14919589</v>
      </c>
      <c r="D35" s="182">
        <f t="shared" ref="D35:D40" si="1">ROUND((C35/$C$41)*100,1)</f>
        <v>68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369749.78999999911</v>
      </c>
      <c r="D36" s="182">
        <f t="shared" si="1"/>
        <v>1.7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5097125</v>
      </c>
      <c r="D37" s="182">
        <f t="shared" si="1"/>
        <v>23.2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1025861</v>
      </c>
      <c r="D38" s="182">
        <f t="shared" si="1"/>
        <v>4.7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518532</v>
      </c>
      <c r="D39" s="182">
        <f t="shared" si="1"/>
        <v>2.4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21930856.789999999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Hollis Brookline Cooperative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2017-09-25T11:58:10Z</cp:lastPrinted>
  <dcterms:created xsi:type="dcterms:W3CDTF">1997-12-04T19:04:30Z</dcterms:created>
  <dcterms:modified xsi:type="dcterms:W3CDTF">2017-11-29T17:28:50Z</dcterms:modified>
</cp:coreProperties>
</file>