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0" i="12" l="1"/>
  <c r="C21" i="12"/>
  <c r="C12" i="12"/>
  <c r="H472" i="1" l="1"/>
  <c r="F367" i="1"/>
  <c r="I358" i="1"/>
  <c r="G158" i="1"/>
  <c r="G468" i="1"/>
  <c r="G472" i="1"/>
  <c r="H591" i="1"/>
  <c r="H592" i="1"/>
  <c r="H595" i="1"/>
  <c r="F57" i="1" l="1"/>
  <c r="H604" i="1"/>
  <c r="G197" i="1"/>
  <c r="I197" i="1"/>
  <c r="I207" i="1"/>
  <c r="J207" i="1"/>
  <c r="H207" i="1"/>
  <c r="H205" i="1"/>
  <c r="H204" i="1"/>
  <c r="G203" i="1"/>
  <c r="J198" i="1"/>
  <c r="H198" i="1"/>
  <c r="F197" i="1"/>
  <c r="G205" i="1"/>
  <c r="G202" i="1"/>
  <c r="G198" i="1"/>
  <c r="F12" i="1" l="1"/>
  <c r="F472" i="1"/>
  <c r="F465" i="1"/>
  <c r="G43" i="1"/>
  <c r="F110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E8" i="13" s="1"/>
  <c r="C8" i="13" s="1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I147" i="1"/>
  <c r="I162" i="1"/>
  <c r="C12" i="10"/>
  <c r="C13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G257" i="1" s="1"/>
  <c r="G271" i="1" s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H639" i="1" s="1"/>
  <c r="G461" i="1"/>
  <c r="H640" i="1" s="1"/>
  <c r="H461" i="1"/>
  <c r="H641" i="1" s="1"/>
  <c r="J641" i="1" s="1"/>
  <c r="I461" i="1"/>
  <c r="H642" i="1" s="1"/>
  <c r="F470" i="1"/>
  <c r="G470" i="1"/>
  <c r="H470" i="1"/>
  <c r="I470" i="1"/>
  <c r="J470" i="1"/>
  <c r="F474" i="1"/>
  <c r="F476" i="1" s="1"/>
  <c r="H622" i="1" s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H643" i="1"/>
  <c r="G644" i="1"/>
  <c r="H644" i="1"/>
  <c r="J644" i="1" s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G164" i="2"/>
  <c r="C26" i="10"/>
  <c r="L328" i="1"/>
  <c r="H660" i="1" s="1"/>
  <c r="L351" i="1"/>
  <c r="I662" i="1"/>
  <c r="L290" i="1"/>
  <c r="A31" i="12"/>
  <c r="C70" i="2"/>
  <c r="A40" i="12"/>
  <c r="D62" i="2"/>
  <c r="D63" i="2" s="1"/>
  <c r="D18" i="13"/>
  <c r="C18" i="13" s="1"/>
  <c r="D15" i="13"/>
  <c r="C15" i="13" s="1"/>
  <c r="D18" i="2"/>
  <c r="D17" i="13"/>
  <c r="C17" i="13" s="1"/>
  <c r="C91" i="2"/>
  <c r="F78" i="2"/>
  <c r="F81" i="2" s="1"/>
  <c r="C78" i="2"/>
  <c r="G157" i="2"/>
  <c r="F18" i="2"/>
  <c r="G161" i="2"/>
  <c r="G156" i="2"/>
  <c r="E115" i="2"/>
  <c r="E103" i="2"/>
  <c r="E62" i="2"/>
  <c r="E63" i="2" s="1"/>
  <c r="E31" i="2"/>
  <c r="G62" i="2"/>
  <c r="D19" i="13"/>
  <c r="C19" i="13" s="1"/>
  <c r="E13" i="13"/>
  <c r="C13" i="13" s="1"/>
  <c r="E78" i="2"/>
  <c r="E81" i="2" s="1"/>
  <c r="H112" i="1"/>
  <c r="J571" i="1"/>
  <c r="K571" i="1"/>
  <c r="L433" i="1"/>
  <c r="L419" i="1"/>
  <c r="D81" i="2"/>
  <c r="I169" i="1"/>
  <c r="H169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401" i="1"/>
  <c r="C139" i="2" s="1"/>
  <c r="L393" i="1"/>
  <c r="F22" i="13"/>
  <c r="C22" i="13" s="1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F552" i="1"/>
  <c r="C35" i="10"/>
  <c r="L309" i="1"/>
  <c r="E16" i="13"/>
  <c r="J655" i="1"/>
  <c r="J645" i="1"/>
  <c r="L570" i="1"/>
  <c r="I571" i="1"/>
  <c r="G36" i="2"/>
  <c r="L565" i="1"/>
  <c r="K551" i="1"/>
  <c r="C138" i="2"/>
  <c r="H33" i="13"/>
  <c r="A13" i="12" l="1"/>
  <c r="L524" i="1"/>
  <c r="L545" i="1" s="1"/>
  <c r="G624" i="1"/>
  <c r="J624" i="1" s="1"/>
  <c r="I369" i="1"/>
  <c r="H634" i="1" s="1"/>
  <c r="J634" i="1" s="1"/>
  <c r="D127" i="2"/>
  <c r="D128" i="2" s="1"/>
  <c r="D145" i="2" s="1"/>
  <c r="F661" i="1"/>
  <c r="L362" i="1"/>
  <c r="D29" i="13"/>
  <c r="C29" i="13" s="1"/>
  <c r="D91" i="2"/>
  <c r="J649" i="1"/>
  <c r="H545" i="1"/>
  <c r="K549" i="1"/>
  <c r="K552" i="1" s="1"/>
  <c r="L534" i="1"/>
  <c r="F112" i="1"/>
  <c r="K605" i="1"/>
  <c r="G648" i="1" s="1"/>
  <c r="D14" i="13"/>
  <c r="C14" i="13" s="1"/>
  <c r="C11" i="10"/>
  <c r="C123" i="2"/>
  <c r="C120" i="2"/>
  <c r="D12" i="13"/>
  <c r="C12" i="13" s="1"/>
  <c r="C121" i="2"/>
  <c r="C15" i="10"/>
  <c r="D6" i="13"/>
  <c r="C6" i="13" s="1"/>
  <c r="L211" i="1"/>
  <c r="F660" i="1" s="1"/>
  <c r="F664" i="1" s="1"/>
  <c r="F672" i="1" s="1"/>
  <c r="C4" i="10" s="1"/>
  <c r="D5" i="13"/>
  <c r="C5" i="13" s="1"/>
  <c r="C109" i="2"/>
  <c r="C115" i="2" s="1"/>
  <c r="J640" i="1"/>
  <c r="L382" i="1"/>
  <c r="G636" i="1" s="1"/>
  <c r="J636" i="1" s="1"/>
  <c r="J476" i="1"/>
  <c r="H626" i="1" s="1"/>
  <c r="H661" i="1"/>
  <c r="H664" i="1" s="1"/>
  <c r="G476" i="1"/>
  <c r="H623" i="1" s="1"/>
  <c r="J623" i="1" s="1"/>
  <c r="J639" i="1"/>
  <c r="C10" i="10"/>
  <c r="L256" i="1"/>
  <c r="H257" i="1"/>
  <c r="H271" i="1" s="1"/>
  <c r="I257" i="1"/>
  <c r="I271" i="1" s="1"/>
  <c r="J257" i="1"/>
  <c r="J271" i="1" s="1"/>
  <c r="J647" i="1"/>
  <c r="F257" i="1"/>
  <c r="F271" i="1" s="1"/>
  <c r="E33" i="13"/>
  <c r="D35" i="13" s="1"/>
  <c r="J622" i="1"/>
  <c r="J617" i="1"/>
  <c r="C16" i="13"/>
  <c r="C81" i="2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D104" i="2" l="1"/>
  <c r="C128" i="2"/>
  <c r="C145" i="2" s="1"/>
  <c r="C28" i="10"/>
  <c r="D23" i="10" s="1"/>
  <c r="L257" i="1"/>
  <c r="L271" i="1" s="1"/>
  <c r="G632" i="1" s="1"/>
  <c r="J632" i="1" s="1"/>
  <c r="G51" i="2"/>
  <c r="H672" i="1"/>
  <c r="C6" i="10" s="1"/>
  <c r="H667" i="1"/>
  <c r="I661" i="1"/>
  <c r="G672" i="1"/>
  <c r="C5" i="10" s="1"/>
  <c r="G104" i="2"/>
  <c r="H646" i="1"/>
  <c r="J646" i="1" s="1"/>
  <c r="I660" i="1"/>
  <c r="I664" i="1" s="1"/>
  <c r="I672" i="1" s="1"/>
  <c r="C7" i="10" s="1"/>
  <c r="F667" i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7" i="10"/>
  <c r="D26" i="10" l="1"/>
  <c r="D15" i="10"/>
  <c r="D10" i="10"/>
  <c r="D25" i="10"/>
  <c r="D20" i="10"/>
  <c r="D12" i="10"/>
  <c r="D17" i="10"/>
  <c r="D19" i="10"/>
  <c r="D18" i="10"/>
  <c r="C30" i="10"/>
  <c r="D22" i="10"/>
  <c r="D13" i="10"/>
  <c r="D11" i="10"/>
  <c r="D21" i="10"/>
  <c r="D24" i="10"/>
  <c r="D16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<sst xmlns="http://schemas.openxmlformats.org/spreadsheetml/2006/main" count="3955" uniqueCount="913">
  <si>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</si>
  <si>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</si>
  <si>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</si>
  <si>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</si>
  <si>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</si>
  <si>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</si>
  <si>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</si>
  <si>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</si>
  <si>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</si>
  <si>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</si>
  <si>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</si>
  <si>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</si>
  <si>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</si>
  <si>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</si>
  <si>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</si>
  <si>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</si>
  <si>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</si>
  <si>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</si>
  <si>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</si>
  <si>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</si>
  <si>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</si>
  <si>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</si>
  <si>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</si>
  <si>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</si>
  <si>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</si>
  <si>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</si>
  <si>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</si>
  <si>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</si>
  <si>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</si>
  <si>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</si>
  <si>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</si>
  <si>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</si>
  <si>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</si>
  <si>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</si>
  <si>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</si>
  <si>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</si>
  <si>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</si>
  <si>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</si>
  <si>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</si>
  <si>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</si>
  <si>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</si>
  <si>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</si>
  <si>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</si>
  <si>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</si>
  <si>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</si>
  <si>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</si>
  <si>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</si>
  <si>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</si>
  <si>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</si>
  <si>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</si>
  <si>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</si>
  <si>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</si>
  <si>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</si>
  <si>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</si>
  <si>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</si>
  <si>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</si>
  <si>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</si>
  <si>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</si>
  <si>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</si>
  <si>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</si>
  <si>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</si>
  <si>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</si>
  <si>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</si>
  <si>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</si>
  <si>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</si>
  <si>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</si>
  <si>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</si>
  <si>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</si>
  <si>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</si>
  <si>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</si>
  <si>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</si>
  <si>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</si>
  <si>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</si>
  <si>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</si>
  <si>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</si>
  <si>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</si>
  <si>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</si>
  <si>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</si>
  <si>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</si>
  <si>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</si>
  <si>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</si>
  <si>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</si>
  <si>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</si>
  <si>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</si>
  <si>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</si>
  <si>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</si>
  <si>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</si>
  <si>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</si>
  <si>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</si>
  <si>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</si>
  <si>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</si>
  <si>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</si>
  <si>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</si>
  <si>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</si>
  <si>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</si>
  <si>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</si>
  <si>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</si>
  <si>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</si>
  <si>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</si>
  <si>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</si>
  <si>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</si>
  <si>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</si>
  <si>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</si>
  <si>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</si>
  <si>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</si>
  <si>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</si>
  <si>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</si>
  <si>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</si>
  <si>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</si>
  <si>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</si>
  <si>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</si>
  <si>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</si>
  <si>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</si>
  <si>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</si>
  <si>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</si>
  <si>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</si>
  <si>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</si>
  <si>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</si>
  <si>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</si>
  <si>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</si>
  <si>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</si>
  <si>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</si>
  <si>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</si>
  <si>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</si>
  <si>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</si>
  <si>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</si>
  <si>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</si>
  <si>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</si>
  <si>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</si>
  <si>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</si>
  <si>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</si>
  <si>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</si>
  <si>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</si>
  <si>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</si>
  <si>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</si>
  <si>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</si>
  <si>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</si>
  <si>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</si>
  <si>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</si>
  <si>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</si>
  <si>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</si>
  <si>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</si>
  <si>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</si>
  <si>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</si>
  <si>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</si>
  <si>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</si>
  <si>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</si>
  <si>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</si>
  <si>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</si>
  <si>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</si>
  <si>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</si>
  <si>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</si>
  <si>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</si>
  <si>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</si>
  <si>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</si>
  <si>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</si>
  <si>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</si>
  <si>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</si>
  <si>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</si>
  <si>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</si>
  <si>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</si>
  <si>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</si>
  <si>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</si>
  <si>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</si>
  <si>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</si>
  <si>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</si>
  <si>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</si>
  <si>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</si>
  <si>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</si>
  <si>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</si>
  <si>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</si>
  <si>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</si>
  <si>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</si>
  <si>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</si>
  <si>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</si>
  <si>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</si>
  <si>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</si>
  <si>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</si>
  <si>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</si>
  <si>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</si>
  <si>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</si>
  <si>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</si>
  <si>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</si>
  <si>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</si>
  <si>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</si>
  <si>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</si>
  <si>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</si>
  <si>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</si>
  <si>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</si>
  <si>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</si>
  <si>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</si>
  <si>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</si>
  <si>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</si>
  <si>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</si>
  <si>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</si>
  <si>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</si>
  <si>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</si>
  <si>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</si>
  <si>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</si>
  <si>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</si>
  <si>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</si>
  <si>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</si>
  <si>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</si>
  <si>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</si>
  <si>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</si>
  <si>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</si>
  <si>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</si>
  <si>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</si>
  <si>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</si>
  <si>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</si>
  <si>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</si>
  <si>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</si>
  <si>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</si>
  <si>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</si>
  <si>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</si>
  <si>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</si>
  <si>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</si>
  <si>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</si>
  <si>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</si>
  <si>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</si>
  <si>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</si>
  <si>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</si>
  <si>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</si>
  <si>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</si>
  <si>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</si>
  <si>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</si>
  <si>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</si>
  <si>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</si>
  <si>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</si>
  <si>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</si>
  <si>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</si>
  <si>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</si>
  <si>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</si>
  <si>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</si>
  <si>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</si>
  <si>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</si>
  <si>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</si>
  <si>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</si>
  <si>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</si>
  <si>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</si>
  <si>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</si>
  <si>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</si>
  <si>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</si>
  <si>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</si>
  <si>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</si>
  <si>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</si>
  <si>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</si>
  <si>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</si>
  <si>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</si>
  <si>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</si>
  <si>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</si>
  <si>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</si>
  <si>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</si>
  <si>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</si>
  <si>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</si>
  <si>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</si>
  <si>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</si>
  <si>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</si>
  <si>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</si>
  <si>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</si>
  <si>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</si>
  <si>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</si>
  <si>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</si>
  <si>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</si>
  <si>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</si>
  <si>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</si>
  <si>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</si>
  <si>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</si>
  <si>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</si>
  <si>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</si>
  <si>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</si>
  <si>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</si>
  <si>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</si>
  <si>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</si>
  <si>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</si>
  <si>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</si>
  <si>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</si>
  <si>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</si>
  <si>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</si>
  <si>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</si>
  <si>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</si>
  <si>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</si>
  <si>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</si>
  <si>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</si>
  <si>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</si>
  <si>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</si>
  <si>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</si>
  <si>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</si>
  <si>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</si>
  <si>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</si>
  <si>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</si>
  <si>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</si>
  <si>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</si>
  <si>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</si>
  <si>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</si>
  <si>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</si>
  <si>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</si>
  <si>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</si>
  <si>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</si>
  <si>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</si>
  <si>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</si>
  <si>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</si>
  <si>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</si>
  <si>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</si>
  <si>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</si>
  <si>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</si>
  <si>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</si>
  <si>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</si>
  <si>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</si>
  <si>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</si>
  <si>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</si>
  <si>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</si>
  <si>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</si>
  <si>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</si>
  <si>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</si>
  <si>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</si>
  <si>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</si>
  <si>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</si>
  <si>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</si>
  <si>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</si>
  <si>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</si>
  <si>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</si>
  <si>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</si>
  <si>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</si>
  <si>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</si>
  <si>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</si>
  <si>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</si>
  <si>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</si>
  <si>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</si>
  <si>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</si>
  <si>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</si>
  <si>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</si>
  <si>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</si>
  <si>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</si>
  <si>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</si>
  <si>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</si>
  <si>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</si>
  <si>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</si>
  <si>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</si>
  <si>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</si>
  <si>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</si>
  <si>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</si>
  <si>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</si>
  <si>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</si>
  <si>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</si>
  <si>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</si>
  <si>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</si>
  <si>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</si>
  <si>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</si>
  <si>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</si>
  <si>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</si>
  <si>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</si>
  <si>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</si>
  <si>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</si>
  <si>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</si>
  <si>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</si>
  <si>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</si>
  <si>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</si>
  <si>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</si>
  <si>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</si>
  <si>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</si>
  <si>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</si>
  <si>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</si>
  <si>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</si>
  <si>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</si>
  <si>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</si>
  <si>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</si>
  <si>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</si>
  <si>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</si>
  <si>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</si>
  <si>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</si>
  <si>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</si>
  <si>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</si>
  <si>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</si>
  <si>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</si>
  <si>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</si>
  <si>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</si>
  <si>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</si>
  <si>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</si>
  <si>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</si>
  <si>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</si>
  <si>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</si>
  <si>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</si>
  <si>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</si>
  <si>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</si>
  <si>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</si>
  <si>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</si>
  <si>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</si>
  <si>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</si>
  <si>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</si>
  <si>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</si>
  <si>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</si>
  <si>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</si>
  <si>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</si>
  <si>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</si>
  <si>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</si>
  <si>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</si>
  <si>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</si>
  <si>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</si>
  <si>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</si>
  <si>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</si>
  <si>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</si>
  <si>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</si>
  <si>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</si>
  <si>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</si>
  <si>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</si>
  <si>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</si>
  <si>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</si>
  <si>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</si>
  <si>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</si>
  <si>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</si>
  <si>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</si>
  <si>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</si>
  <si>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</si>
  <si>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</si>
  <si>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</si>
  <si>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</si>
  <si>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</si>
  <si>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</si>
  <si>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</si>
  <si>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</si>
  <si>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</si>
  <si>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</si>
  <si>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</si>
  <si>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</si>
  <si>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</si>
  <si>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</si>
  <si>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</si>
  <si>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</si>
  <si>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</si>
  <si>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</si>
  <si>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</si>
  <si>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</si>
  <si>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</si>
  <si>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</si>
  <si>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</si>
  <si>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</si>
  <si>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</si>
  <si>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</si>
  <si>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</si>
  <si>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</si>
  <si>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</si>
  <si>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</si>
  <si>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</si>
  <si>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</si>
  <si>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</si>
  <si>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</si>
  <si>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</si>
  <si>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</si>
  <si>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</si>
  <si>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</si>
  <si>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</si>
  <si>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</si>
  <si>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</si>
  <si>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</si>
  <si>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</si>
  <si>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</si>
  <si>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</si>
  <si>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</si>
  <si>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</si>
  <si>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</si>
  <si>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</si>
  <si>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</si>
  <si>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</si>
  <si>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</si>
  <si>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</si>
  <si>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</si>
  <si>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</si>
  <si>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</si>
  <si>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</si>
  <si>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</si>
  <si>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</si>
  <si>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</si>
  <si>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</si>
  <si>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</si>
  <si>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</si>
  <si>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</si>
  <si>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</si>
  <si>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</si>
  <si>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</si>
  <si>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</si>
  <si>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</si>
  <si>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</si>
  <si>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</si>
  <si>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</si>
  <si>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</si>
  <si>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</si>
  <si>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</si>
  <si>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</si>
  <si>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</si>
  <si>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</si>
  <si>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</si>
  <si>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</si>
  <si>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</si>
  <si>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</si>
  <si>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</si>
  <si>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</si>
  <si>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</si>
  <si>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</si>
  <si>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</si>
  <si>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</si>
  <si>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</si>
  <si>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</si>
  <si>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</si>
  <si>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</si>
  <si>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</si>
  <si>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</si>
  <si>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</si>
  <si>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</si>
  <si>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</si>
  <si>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</si>
  <si>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</si>
  <si>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</si>
  <si>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</si>
  <si>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</si>
  <si>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</si>
  <si>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</si>
  <si>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</si>
  <si>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</si>
  <si>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</si>
  <si>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</si>
  <si>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</si>
  <si>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</si>
  <si>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</si>
  <si>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</si>
  <si>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</si>
  <si>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</si>
  <si>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</si>
  <si>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</si>
  <si>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</si>
  <si>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</si>
  <si>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</si>
  <si>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</si>
  <si>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</si>
  <si>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</si>
  <si>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</si>
  <si>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</si>
  <si>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</si>
  <si>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</si>
  <si>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</si>
  <si>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</si>
  <si>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</si>
  <si>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</si>
  <si>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</si>
  <si>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</si>
  <si>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</si>
  <si>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</si>
  <si>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</si>
  <si>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</si>
  <si>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</si>
  <si>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</si>
  <si>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</si>
  <si>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</si>
  <si>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</si>
  <si>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</si>
  <si>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</si>
  <si>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</si>
  <si>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</si>
  <si>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</si>
  <si>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</si>
  <si>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</si>
  <si>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</si>
  <si>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</si>
  <si>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</si>
  <si>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</si>
  <si>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</si>
  <si>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</si>
  <si>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</si>
  <si>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</si>
  <si>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</si>
  <si>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</si>
  <si>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</si>
  <si>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</si>
  <si>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</si>
  <si>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</si>
  <si>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</si>
  <si>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</si>
  <si>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</si>
  <si>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</si>
  <si>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</si>
  <si>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</si>
  <si>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</si>
  <si>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</si>
  <si>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</si>
  <si>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</si>
  <si>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</si>
  <si>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</si>
  <si>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</si>
  <si>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</si>
  <si>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</si>
  <si>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</si>
  <si>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</si>
  <si>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</si>
  <si>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</si>
  <si>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</si>
  <si>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</si>
  <si>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</si>
  <si>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</si>
  <si>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</si>
  <si>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</si>
  <si>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</si>
  <si>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</si>
  <si>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</si>
  <si>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</si>
  <si>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</si>
  <si>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</si>
  <si>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</si>
  <si>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</si>
  <si>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</si>
  <si>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</si>
  <si>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</si>
  <si>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</si>
  <si>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</si>
  <si>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</si>
  <si>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</si>
  <si>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</si>
  <si>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</si>
  <si>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</si>
  <si>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</si>
  <si>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</si>
  <si>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</si>
  <si>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</si>
  <si>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</si>
  <si>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</si>
  <si>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</si>
  <si>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</si>
  <si>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</si>
  <si>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</si>
  <si>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</si>
  <si>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</si>
  <si>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</si>
  <si>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</si>
  <si>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</si>
  <si>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</si>
  <si>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</si>
  <si>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</si>
  <si>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</si>
  <si>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</si>
  <si>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</si>
  <si>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</si>
  <si>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</si>
  <si>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</si>
  <si>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</si>
  <si>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</si>
  <si>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</si>
  <si>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</si>
  <si>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</si>
  <si>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</si>
  <si>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</si>
  <si>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</si>
  <si>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</si>
  <si>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</si>
  <si>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</si>
  <si>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</si>
  <si>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</si>
  <si>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</si>
  <si>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</si>
  <si>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</si>
  <si>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</si>
  <si>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</si>
  <si>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</si>
  <si>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</si>
  <si>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</si>
  <si>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</si>
  <si>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</si>
  <si>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</si>
  <si>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</si>
  <si>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</si>
  <si>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</si>
  <si>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</si>
  <si>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</si>
  <si>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</si>
  <si>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</si>
  <si>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</si>
  <si>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</si>
  <si>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</si>
  <si>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</si>
  <si>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</si>
  <si>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</si>
  <si>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</si>
  <si>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</si>
  <si>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</si>
  <si>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</si>
  <si>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</si>
  <si>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</si>
  <si>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</si>
  <si>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</si>
  <si>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</si>
  <si>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</si>
  <si>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</si>
  <si>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</si>
  <si>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</si>
  <si>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</si>
  <si>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</si>
  <si>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</si>
  <si>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</si>
  <si>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</si>
  <si>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</si>
  <si>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</si>
  <si>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</si>
  <si>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</si>
  <si>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</si>
  <si>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</si>
  <si>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</si>
  <si>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</si>
  <si>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</si>
  <si>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</si>
  <si>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</si>
  <si>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</si>
  <si>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</si>
  <si>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</si>
  <si>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</si>
  <si>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</si>
  <si>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</si>
  <si>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</si>
  <si>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</si>
  <si>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</si>
  <si>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</si>
  <si>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</si>
  <si>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</si>
  <si>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</si>
  <si>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</si>
  <si>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</si>
  <si>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</si>
  <si>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</si>
  <si>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</si>
  <si>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</si>
  <si>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</si>
  <si>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</si>
  <si>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</si>
  <si>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</si>
  <si>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</si>
  <si>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</si>
  <si>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</si>
  <si>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</si>
  <si>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</si>
  <si>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</si>
  <si>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</si>
  <si>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</si>
  <si>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</si>
  <si>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</si>
  <si>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</si>
  <si>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</si>
  <si>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</si>
  <si>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</si>
  <si>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</si>
  <si>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</si>
  <si>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</si>
  <si>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</si>
  <si>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</si>
  <si>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</si>
  <si>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</si>
  <si>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</si>
  <si>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</si>
  <si>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</si>
  <si>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</si>
  <si>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</si>
  <si>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</si>
  <si>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</si>
  <si>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</si>
  <si>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</si>
  <si>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</si>
  <si>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</si>
  <si>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</si>
  <si>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</si>
  <si>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</si>
  <si>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</si>
  <si>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</si>
  <si>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</si>
  <si>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</si>
  <si>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</si>
  <si>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</si>
  <si>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</si>
  <si>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</si>
  <si>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</si>
  <si>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</si>
  <si>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</si>
  <si>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</si>
  <si>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</si>
  <si>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</si>
  <si>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</si>
  <si>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</si>
  <si>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</si>
  <si>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</si>
  <si>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</si>
  <si>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</si>
  <si>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</si>
  <si>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</si>
  <si>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</si>
  <si>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</si>
  <si>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</si>
  <si>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</si>
  <si>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</si>
  <si>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</si>
  <si>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</si>
  <si>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</si>
  <si>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</si>
  <si>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</si>
  <si>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</si>
  <si>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</si>
  <si>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</si>
  <si>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</si>
  <si>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</si>
  <si>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</si>
  <si>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</si>
  <si>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</si>
  <si>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</si>
  <si>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</si>
  <si>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</si>
  <si>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</si>
  <si>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</si>
  <si>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</si>
  <si>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</si>
  <si>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</si>
  <si>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</si>
  <si>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</si>
  <si>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</si>
  <si>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</si>
  <si>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</si>
  <si>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</si>
  <si>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</si>
  <si>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</si>
  <si>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</si>
  <si>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</si>
  <si>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</si>
  <si>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</si>
  <si>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</si>
  <si>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</si>
  <si>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</si>
  <si>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</si>
  <si>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</si>
  <si>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</si>
  <si>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</si>
  <si>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</si>
  <si>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</si>
  <si>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</si>
  <si>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</si>
  <si>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</si>
  <si>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</si>
  <si>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</si>
  <si>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</si>
  <si>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</si>
  <si>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</si>
  <si>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</si>
  <si>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</si>
  <si>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</si>
  <si>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</si>
  <si>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</si>
  <si>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</si>
  <si>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</si>
  <si>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</si>
  <si>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</si>
  <si>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</si>
  <si>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</si>
  <si>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</si>
  <si>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</si>
  <si>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</si>
  <si>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</si>
  <si>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</si>
  <si>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</si>
  <si>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</si>
  <si>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</si>
  <si>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</si>
  <si>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</si>
  <si>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</si>
  <si>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</si>
  <si>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</si>
  <si>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</si>
  <si>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</si>
  <si>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</si>
  <si>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</si>
  <si>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</si>
  <si>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</si>
  <si>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</si>
  <si>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</si>
  <si>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</si>
  <si>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</si>
  <si>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</si>
  <si>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</si>
  <si>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</si>
  <si>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</si>
  <si>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</si>
  <si>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</si>
  <si>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</si>
  <si>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</si>
  <si>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</si>
  <si>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</si>
  <si>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</si>
  <si>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</si>
  <si>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</si>
  <si>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</si>
  <si>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</si>
  <si>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</si>
  <si>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</si>
  <si>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</si>
  <si>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</si>
  <si>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</si>
  <si>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</si>
  <si>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</si>
  <si>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</si>
  <si>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</si>
  <si>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</si>
  <si>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</si>
  <si>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</si>
  <si>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</si>
  <si>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</si>
  <si>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</si>
  <si>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</si>
  <si>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</si>
  <si>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</si>
  <si>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</si>
  <si>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</si>
  <si>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Hollis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</si>
</sst>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541" sqref="H54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259</v>
      </c>
      <c r="C2" s="21">
        <v>259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574797.74+473.42+450</f>
        <v>575721.16</v>
      </c>
      <c r="G9" s="18">
        <v>9082.76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884003.02-103977.42</f>
        <v>780025.6</v>
      </c>
      <c r="G12" s="18">
        <v>30304.85</v>
      </c>
      <c r="H12" s="18">
        <v>12859.01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2551.5</v>
      </c>
      <c r="G13" s="18">
        <v>2005.22</v>
      </c>
      <c r="H13" s="18">
        <v>37842.129999999997</v>
      </c>
      <c r="I13" s="18"/>
      <c r="J13" s="67">
        <f>SUM(I442)</f>
        <v>156761.04999999999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59286.559999999998</v>
      </c>
      <c r="G14" s="18">
        <v>11.7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6224.3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3953.85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1421538.6700000002</v>
      </c>
      <c r="G19" s="41">
        <f>SUM(G9:G18)</f>
        <v>47628.83</v>
      </c>
      <c r="H19" s="41">
        <f>SUM(H9:H18)</f>
        <v>50701.14</v>
      </c>
      <c r="I19" s="41">
        <f>SUM(I9:I18)</f>
        <v>0</v>
      </c>
      <c r="J19" s="41">
        <f>SUM(J9:J18)</f>
        <v>156761.04999999999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725762.37</v>
      </c>
      <c r="G22" s="18"/>
      <c r="H22" s="18">
        <v>37817.129999999997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1746.87</v>
      </c>
      <c r="G23" s="18">
        <v>193.85</v>
      </c>
      <c r="H23" s="18">
        <v>25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27895.24</v>
      </c>
      <c r="G24" s="18">
        <v>0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71879.289999999994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1440</v>
      </c>
      <c r="G30" s="18">
        <v>15021.15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828723.77</v>
      </c>
      <c r="G32" s="41">
        <f>SUM(G22:G31)</f>
        <v>15215</v>
      </c>
      <c r="H32" s="41">
        <f>SUM(H22:H31)</f>
        <v>37842.129999999997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6224.3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3953.85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>
        <f>21367.04+4822.49</f>
        <v>26189.53</v>
      </c>
      <c r="H43" s="18">
        <v>12859.01</v>
      </c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79000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152000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156761.04999999999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3220.93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354640.12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592814.9</v>
      </c>
      <c r="G51" s="41">
        <f>SUM(G35:G50)</f>
        <v>32413.829999999998</v>
      </c>
      <c r="H51" s="41">
        <f>SUM(H35:H50)</f>
        <v>12859.01</v>
      </c>
      <c r="I51" s="41">
        <f>SUM(I35:I50)</f>
        <v>0</v>
      </c>
      <c r="J51" s="41">
        <f>SUM(J35:J50)</f>
        <v>156761.04999999999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1421538.67</v>
      </c>
      <c r="G52" s="41">
        <f>G51+G32</f>
        <v>47628.83</v>
      </c>
      <c r="H52" s="41">
        <f>H51+H32</f>
        <v>50701.14</v>
      </c>
      <c r="I52" s="41">
        <f>I51+I32</f>
        <v>0</v>
      </c>
      <c r="J52" s="41">
        <f>J51+J32</f>
        <v>156761.04999999999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9631911-1378318</f>
        <v>8253593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8253593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5060.3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17821.7</v>
      </c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22882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1233.4100000000001</v>
      </c>
      <c r="G96" s="18">
        <v>45.2</v>
      </c>
      <c r="H96" s="18"/>
      <c r="I96" s="18"/>
      <c r="J96" s="18">
        <v>1057.1400000000001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196627.86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8000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510.56+127.63</f>
        <v>638.19000000000005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9871.6</v>
      </c>
      <c r="G111" s="41">
        <f>SUM(G96:G110)</f>
        <v>196673.06</v>
      </c>
      <c r="H111" s="41">
        <f>SUM(H96:H110)</f>
        <v>0</v>
      </c>
      <c r="I111" s="41">
        <f>SUM(I96:I110)</f>
        <v>0</v>
      </c>
      <c r="J111" s="41">
        <f>SUM(J96:J110)</f>
        <v>1057.1400000000001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8286346.5999999996</v>
      </c>
      <c r="G112" s="41">
        <f>G60+G111</f>
        <v>196673.06</v>
      </c>
      <c r="H112" s="41">
        <f>H60+H79+H94+H111</f>
        <v>0</v>
      </c>
      <c r="I112" s="41">
        <f>I60+I111</f>
        <v>0</v>
      </c>
      <c r="J112" s="41">
        <f>J60+J111</f>
        <v>1057.1400000000001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904001.03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1378318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2282319.0300000003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39129.72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2432.5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39129.72</v>
      </c>
      <c r="G136" s="41">
        <f>SUM(G123:G135)</f>
        <v>2432.5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2321448.7500000005</v>
      </c>
      <c r="G140" s="41">
        <f>G121+SUM(G136:G137)</f>
        <v>2432.5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>
        <v>11879</v>
      </c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11879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31470.2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11040.74+14474.52</f>
        <v>25515.260000000002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134771.49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41171.67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41171.67</v>
      </c>
      <c r="G162" s="41">
        <f>SUM(G150:G161)</f>
        <v>25515.260000000002</v>
      </c>
      <c r="H162" s="41">
        <f>SUM(H150:H161)</f>
        <v>166241.69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41171.67</v>
      </c>
      <c r="G169" s="41">
        <f>G147+G162+SUM(G163:G168)</f>
        <v>37394.26</v>
      </c>
      <c r="H169" s="41">
        <f>H147+H162+SUM(H163:H168)</f>
        <v>166241.69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63000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63000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63000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10648967.02</v>
      </c>
      <c r="G193" s="47">
        <f>G112+G140+G169+G192</f>
        <v>236499.82</v>
      </c>
      <c r="H193" s="47">
        <f>H112+H140+H169+H192</f>
        <v>166241.69</v>
      </c>
      <c r="I193" s="47">
        <f>I112+I140+I169+I192</f>
        <v>0</v>
      </c>
      <c r="J193" s="47">
        <f>J112+J140+J192</f>
        <v>64057.14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3502335.42</f>
        <v>3502335.42</v>
      </c>
      <c r="G197" s="18">
        <f>1322411.14+159195.08</f>
        <v>1481606.22</v>
      </c>
      <c r="H197" s="18">
        <v>11325.5</v>
      </c>
      <c r="I197" s="18">
        <f>123265.47+948+8763.9</f>
        <v>132977.37</v>
      </c>
      <c r="J197" s="18">
        <v>6598.81</v>
      </c>
      <c r="K197" s="18">
        <v>1037.9100000000001</v>
      </c>
      <c r="L197" s="19">
        <f>SUM(F197:K197)</f>
        <v>5135881.2299999995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923771.18</v>
      </c>
      <c r="G198" s="18">
        <f>3016.13+348872.2</f>
        <v>351888.33</v>
      </c>
      <c r="H198" s="18">
        <f>132950.88+208</f>
        <v>133158.88</v>
      </c>
      <c r="I198" s="18">
        <v>20299.759999999998</v>
      </c>
      <c r="J198" s="18">
        <f>3061.69+144.95</f>
        <v>3206.64</v>
      </c>
      <c r="K198" s="18">
        <v>655</v>
      </c>
      <c r="L198" s="19">
        <f>SUM(F198:K198)</f>
        <v>1432979.79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608191.24</v>
      </c>
      <c r="G202" s="18">
        <f>2766.4+229640.26</f>
        <v>232406.66</v>
      </c>
      <c r="H202" s="18">
        <v>96082.73</v>
      </c>
      <c r="I202" s="18">
        <v>19337.61</v>
      </c>
      <c r="J202" s="18">
        <v>502.5</v>
      </c>
      <c r="K202" s="18">
        <v>300</v>
      </c>
      <c r="L202" s="19">
        <f t="shared" ref="L202:L208" si="0">SUM(F202:K202)</f>
        <v>956820.74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223297.25</v>
      </c>
      <c r="G203" s="18">
        <f>84389.97+1610.15+443</f>
        <v>86443.12</v>
      </c>
      <c r="H203" s="18">
        <v>912.39</v>
      </c>
      <c r="I203" s="18">
        <v>13387.25</v>
      </c>
      <c r="J203" s="18">
        <v>7761.81</v>
      </c>
      <c r="K203" s="18"/>
      <c r="L203" s="19">
        <f t="shared" si="0"/>
        <v>331801.82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>
        <f>459108.41+779+741.79</f>
        <v>460629.19999999995</v>
      </c>
      <c r="I204" s="18">
        <v>7117.54</v>
      </c>
      <c r="J204" s="18"/>
      <c r="K204" s="18"/>
      <c r="L204" s="19">
        <f t="shared" si="0"/>
        <v>467746.73999999993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434492.56</v>
      </c>
      <c r="G205" s="18">
        <f>7237.34+164028.76</f>
        <v>171266.1</v>
      </c>
      <c r="H205" s="18">
        <f>66834.82+135.96+131.07</f>
        <v>67101.85000000002</v>
      </c>
      <c r="I205" s="18">
        <v>58665.87</v>
      </c>
      <c r="J205" s="18">
        <v>577</v>
      </c>
      <c r="K205" s="18">
        <v>1560</v>
      </c>
      <c r="L205" s="19">
        <f t="shared" si="0"/>
        <v>733663.38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>
        <v>759.54</v>
      </c>
      <c r="L206" s="19">
        <f t="shared" si="0"/>
        <v>759.54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300303.92</v>
      </c>
      <c r="G207" s="18">
        <v>113123.28</v>
      </c>
      <c r="H207" s="18">
        <f>306125.64+13396.4+3725+13130.7+4846</f>
        <v>341223.74000000005</v>
      </c>
      <c r="I207" s="18">
        <f>213940.33+13728</f>
        <v>227668.33</v>
      </c>
      <c r="J207" s="18">
        <f>26106.55+350+4891.55</f>
        <v>31348.1</v>
      </c>
      <c r="K207" s="18"/>
      <c r="L207" s="19">
        <f t="shared" si="0"/>
        <v>1013667.3699999999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/>
      <c r="H208" s="18">
        <v>366439.32</v>
      </c>
      <c r="I208" s="18">
        <v>36147.58</v>
      </c>
      <c r="J208" s="18"/>
      <c r="K208" s="18"/>
      <c r="L208" s="19">
        <f t="shared" si="0"/>
        <v>402586.9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5992391.5699999994</v>
      </c>
      <c r="G211" s="41">
        <f t="shared" si="1"/>
        <v>2436733.71</v>
      </c>
      <c r="H211" s="41">
        <f t="shared" si="1"/>
        <v>1476873.61</v>
      </c>
      <c r="I211" s="41">
        <f t="shared" si="1"/>
        <v>515601.31</v>
      </c>
      <c r="J211" s="41">
        <f t="shared" si="1"/>
        <v>49994.86</v>
      </c>
      <c r="K211" s="41">
        <f t="shared" si="1"/>
        <v>4312.45</v>
      </c>
      <c r="L211" s="41">
        <f t="shared" si="1"/>
        <v>10475907.51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93672.4</v>
      </c>
      <c r="I255" s="18"/>
      <c r="J255" s="18"/>
      <c r="K255" s="18"/>
      <c r="L255" s="19">
        <f t="shared" si="6"/>
        <v>93672.4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93672.4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93672.4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5992391.5699999994</v>
      </c>
      <c r="G257" s="41">
        <f t="shared" si="8"/>
        <v>2436733.71</v>
      </c>
      <c r="H257" s="41">
        <f t="shared" si="8"/>
        <v>1570546.01</v>
      </c>
      <c r="I257" s="41">
        <f t="shared" si="8"/>
        <v>515601.31</v>
      </c>
      <c r="J257" s="41">
        <f t="shared" si="8"/>
        <v>49994.86</v>
      </c>
      <c r="K257" s="41">
        <f t="shared" si="8"/>
        <v>4312.45</v>
      </c>
      <c r="L257" s="41">
        <f t="shared" si="8"/>
        <v>10569579.91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63000</v>
      </c>
      <c r="L266" s="19">
        <f t="shared" si="9"/>
        <v>63000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63000</v>
      </c>
      <c r="L270" s="41">
        <f t="shared" si="9"/>
        <v>63000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5992391.5699999994</v>
      </c>
      <c r="G271" s="42">
        <f t="shared" si="11"/>
        <v>2436733.71</v>
      </c>
      <c r="H271" s="42">
        <f t="shared" si="11"/>
        <v>1570546.01</v>
      </c>
      <c r="I271" s="42">
        <f t="shared" si="11"/>
        <v>515601.31</v>
      </c>
      <c r="J271" s="42">
        <f t="shared" si="11"/>
        <v>49994.86</v>
      </c>
      <c r="K271" s="42">
        <f t="shared" si="11"/>
        <v>67312.45</v>
      </c>
      <c r="L271" s="42">
        <f t="shared" si="11"/>
        <v>10632579.91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>
        <v>453</v>
      </c>
      <c r="I276" s="18"/>
      <c r="J276" s="18">
        <v>16874.2</v>
      </c>
      <c r="K276" s="18"/>
      <c r="L276" s="19">
        <f>SUM(F276:K276)</f>
        <v>17327.2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117503.99</v>
      </c>
      <c r="G277" s="18"/>
      <c r="H277" s="18">
        <v>100</v>
      </c>
      <c r="I277" s="18">
        <v>16714.5</v>
      </c>
      <c r="J277" s="18"/>
      <c r="K277" s="18"/>
      <c r="L277" s="19">
        <f>SUM(F277:K277)</f>
        <v>134318.49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>
        <v>1579.87</v>
      </c>
      <c r="J279" s="18"/>
      <c r="K279" s="18"/>
      <c r="L279" s="19">
        <f>SUM(F279:K279)</f>
        <v>1579.87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>
        <v>375</v>
      </c>
      <c r="H282" s="18">
        <v>14221</v>
      </c>
      <c r="I282" s="18"/>
      <c r="J282" s="18"/>
      <c r="K282" s="18"/>
      <c r="L282" s="19">
        <f t="shared" si="12"/>
        <v>14596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>
        <v>0</v>
      </c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117503.99</v>
      </c>
      <c r="G290" s="42">
        <f t="shared" si="13"/>
        <v>375</v>
      </c>
      <c r="H290" s="42">
        <f t="shared" si="13"/>
        <v>14774</v>
      </c>
      <c r="I290" s="42">
        <f t="shared" si="13"/>
        <v>18294.37</v>
      </c>
      <c r="J290" s="42">
        <f t="shared" si="13"/>
        <v>16874.2</v>
      </c>
      <c r="K290" s="42">
        <f t="shared" si="13"/>
        <v>0</v>
      </c>
      <c r="L290" s="41">
        <f t="shared" si="13"/>
        <v>167821.56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117503.99</v>
      </c>
      <c r="G338" s="41">
        <f t="shared" si="20"/>
        <v>375</v>
      </c>
      <c r="H338" s="41">
        <f t="shared" si="20"/>
        <v>14774</v>
      </c>
      <c r="I338" s="41">
        <f t="shared" si="20"/>
        <v>18294.37</v>
      </c>
      <c r="J338" s="41">
        <f t="shared" si="20"/>
        <v>16874.2</v>
      </c>
      <c r="K338" s="41">
        <f t="shared" si="20"/>
        <v>0</v>
      </c>
      <c r="L338" s="41">
        <f t="shared" si="20"/>
        <v>167821.56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117503.99</v>
      </c>
      <c r="G352" s="41">
        <f>G338</f>
        <v>375</v>
      </c>
      <c r="H352" s="41">
        <f>H338</f>
        <v>14774</v>
      </c>
      <c r="I352" s="41">
        <f>I338</f>
        <v>18294.37</v>
      </c>
      <c r="J352" s="41">
        <f>J338</f>
        <v>16874.2</v>
      </c>
      <c r="K352" s="47">
        <f>K338+K351</f>
        <v>0</v>
      </c>
      <c r="L352" s="41">
        <f>L338+L351</f>
        <v>167821.56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>
        <v>114578.6</v>
      </c>
      <c r="H358" s="18">
        <v>3527.06</v>
      </c>
      <c r="I358" s="18">
        <f>11879+101542.67</f>
        <v>113421.67</v>
      </c>
      <c r="J358" s="18"/>
      <c r="K358" s="18">
        <v>150</v>
      </c>
      <c r="L358" s="13">
        <f>SUM(F358:K358)</f>
        <v>231677.33000000002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114578.6</v>
      </c>
      <c r="H362" s="47">
        <f t="shared" si="22"/>
        <v>3527.06</v>
      </c>
      <c r="I362" s="47">
        <f t="shared" si="22"/>
        <v>113421.67</v>
      </c>
      <c r="J362" s="47">
        <f t="shared" si="22"/>
        <v>0</v>
      </c>
      <c r="K362" s="47">
        <f t="shared" si="22"/>
        <v>150</v>
      </c>
      <c r="L362" s="47">
        <f t="shared" si="22"/>
        <v>231677.33000000002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11879+72857.24</f>
        <v>84736.24</v>
      </c>
      <c r="G367" s="18"/>
      <c r="H367" s="18"/>
      <c r="I367" s="56">
        <f>SUM(F367:H367)</f>
        <v>84736.24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28685.43</v>
      </c>
      <c r="G368" s="63"/>
      <c r="H368" s="63"/>
      <c r="I368" s="56">
        <f>SUM(F368:H368)</f>
        <v>28685.43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113421.67000000001</v>
      </c>
      <c r="G369" s="47">
        <f>SUM(G367:G368)</f>
        <v>0</v>
      </c>
      <c r="H369" s="47">
        <f>SUM(H367:H368)</f>
        <v>0</v>
      </c>
      <c r="I369" s="47">
        <f>SUM(I367:I368)</f>
        <v>113421.67000000001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63000</v>
      </c>
      <c r="H396" s="18">
        <v>1057.1400000000001</v>
      </c>
      <c r="I396" s="18"/>
      <c r="J396" s="24" t="s">
        <v>288</v>
      </c>
      <c r="K396" s="24" t="s">
        <v>288</v>
      </c>
      <c r="L396" s="56">
        <f t="shared" si="26"/>
        <v>64057.14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63000</v>
      </c>
      <c r="H401" s="47">
        <f>SUM(H395:H400)</f>
        <v>1057.1400000000001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64057.14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63000</v>
      </c>
      <c r="H408" s="47">
        <f>H393+H401+H407</f>
        <v>1057.1400000000001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64057.14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v>62661.46</v>
      </c>
      <c r="I422" s="18"/>
      <c r="J422" s="18"/>
      <c r="K422" s="18"/>
      <c r="L422" s="56">
        <f t="shared" si="29"/>
        <v>62661.46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62661.46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62661.46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62661.46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62661.46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v>156761.04999999999</v>
      </c>
      <c r="H442" s="18"/>
      <c r="I442" s="56">
        <f t="shared" si="33"/>
        <v>156761.04999999999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156761.04999999999</v>
      </c>
      <c r="H446" s="13">
        <f>SUM(H439:H445)</f>
        <v>0</v>
      </c>
      <c r="I446" s="13">
        <f>SUM(I439:I445)</f>
        <v>156761.04999999999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>
        <v>0</v>
      </c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156761.04999999999</v>
      </c>
      <c r="H459" s="18"/>
      <c r="I459" s="56">
        <f t="shared" si="34"/>
        <v>156761.04999999999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156761.04999999999</v>
      </c>
      <c r="H460" s="83">
        <f>SUM(H454:H459)</f>
        <v>0</v>
      </c>
      <c r="I460" s="83">
        <f>SUM(I454:I459)</f>
        <v>156761.04999999999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156761.04999999999</v>
      </c>
      <c r="H461" s="42">
        <f>H452+H460</f>
        <v>0</v>
      </c>
      <c r="I461" s="42">
        <f>I452+I460</f>
        <v>156761.04999999999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f>680405.21-103977.42</f>
        <v>576427.78999999992</v>
      </c>
      <c r="G465" s="18">
        <v>27591.34</v>
      </c>
      <c r="H465" s="18">
        <v>14438.88</v>
      </c>
      <c r="I465" s="18"/>
      <c r="J465" s="18">
        <v>155365.37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10648967.02</v>
      </c>
      <c r="G468" s="18">
        <f>224620.82+11879</f>
        <v>236499.82</v>
      </c>
      <c r="H468" s="18">
        <v>166241.69</v>
      </c>
      <c r="I468" s="18"/>
      <c r="J468" s="18">
        <v>64057.14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10648967.02</v>
      </c>
      <c r="G470" s="53">
        <f>SUM(G468:G469)</f>
        <v>236499.82</v>
      </c>
      <c r="H470" s="53">
        <f>SUM(H468:H469)</f>
        <v>166241.69</v>
      </c>
      <c r="I470" s="53">
        <f>SUM(I468:I469)</f>
        <v>0</v>
      </c>
      <c r="J470" s="53">
        <f>SUM(J468:J469)</f>
        <v>64057.14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10564606.44+67973.47</f>
        <v>10632579.91</v>
      </c>
      <c r="G472" s="18">
        <f>219798.33+11879</f>
        <v>231677.33</v>
      </c>
      <c r="H472" s="18">
        <f>166241.69+1579.87</f>
        <v>167821.56</v>
      </c>
      <c r="I472" s="18"/>
      <c r="J472" s="18">
        <v>62661.46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10632579.91</v>
      </c>
      <c r="G474" s="53">
        <f>SUM(G472:G473)</f>
        <v>231677.33</v>
      </c>
      <c r="H474" s="53">
        <f>SUM(H472:H473)</f>
        <v>167821.56</v>
      </c>
      <c r="I474" s="53">
        <f>SUM(I472:I473)</f>
        <v>0</v>
      </c>
      <c r="J474" s="53">
        <f>SUM(J472:J473)</f>
        <v>62661.46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592814.89999999851</v>
      </c>
      <c r="G476" s="53">
        <f>(G465+G470)- G474</f>
        <v>32413.830000000045</v>
      </c>
      <c r="H476" s="53">
        <f>(H465+H470)- H474</f>
        <v>12859.010000000009</v>
      </c>
      <c r="I476" s="53">
        <f>(I465+I470)- I474</f>
        <v>0</v>
      </c>
      <c r="J476" s="53">
        <f>(J465+J470)- J474</f>
        <v>156761.05000000002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987155.17</v>
      </c>
      <c r="G521" s="18">
        <v>309010.01</v>
      </c>
      <c r="H521" s="18">
        <v>131264.76999999999</v>
      </c>
      <c r="I521" s="18">
        <v>37014.26</v>
      </c>
      <c r="J521" s="18">
        <v>3206.64</v>
      </c>
      <c r="K521" s="18">
        <v>655</v>
      </c>
      <c r="L521" s="88">
        <f>SUM(F521:K521)</f>
        <v>1468305.85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987155.17</v>
      </c>
      <c r="G524" s="108">
        <f t="shared" ref="G524:L524" si="36">SUM(G521:G523)</f>
        <v>309010.01</v>
      </c>
      <c r="H524" s="108">
        <f t="shared" si="36"/>
        <v>131264.76999999999</v>
      </c>
      <c r="I524" s="108">
        <f t="shared" si="36"/>
        <v>37014.26</v>
      </c>
      <c r="J524" s="108">
        <f t="shared" si="36"/>
        <v>3206.64</v>
      </c>
      <c r="K524" s="108">
        <f t="shared" si="36"/>
        <v>655</v>
      </c>
      <c r="L524" s="89">
        <f t="shared" si="36"/>
        <v>1468305.85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346591.49</v>
      </c>
      <c r="G526" s="18">
        <v>111210.7</v>
      </c>
      <c r="H526" s="18">
        <v>91513.17</v>
      </c>
      <c r="I526" s="18">
        <v>13601.05</v>
      </c>
      <c r="J526" s="18"/>
      <c r="K526" s="18"/>
      <c r="L526" s="88">
        <f>SUM(F526:K526)</f>
        <v>562916.41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346591.49</v>
      </c>
      <c r="G529" s="89">
        <f t="shared" ref="G529:L529" si="37">SUM(G526:G528)</f>
        <v>111210.7</v>
      </c>
      <c r="H529" s="89">
        <f t="shared" si="37"/>
        <v>91513.17</v>
      </c>
      <c r="I529" s="89">
        <f t="shared" si="37"/>
        <v>13601.05</v>
      </c>
      <c r="J529" s="89">
        <f t="shared" si="37"/>
        <v>0</v>
      </c>
      <c r="K529" s="89">
        <f t="shared" si="37"/>
        <v>0</v>
      </c>
      <c r="L529" s="89">
        <f t="shared" si="37"/>
        <v>562916.41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54120</v>
      </c>
      <c r="G531" s="18">
        <v>18362.830000000002</v>
      </c>
      <c r="H531" s="18"/>
      <c r="I531" s="18"/>
      <c r="J531" s="18"/>
      <c r="K531" s="18"/>
      <c r="L531" s="88">
        <f>SUM(F531:K531)</f>
        <v>72482.83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54120</v>
      </c>
      <c r="G534" s="89">
        <f t="shared" ref="G534:L534" si="38">SUM(G531:G533)</f>
        <v>18362.830000000002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72482.83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1994.11</v>
      </c>
      <c r="I536" s="18"/>
      <c r="J536" s="18"/>
      <c r="K536" s="18"/>
      <c r="L536" s="88">
        <f>SUM(F536:K536)</f>
        <v>1994.11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1994.11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1994.11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91497.85</v>
      </c>
      <c r="I541" s="18"/>
      <c r="J541" s="18"/>
      <c r="K541" s="18"/>
      <c r="L541" s="88">
        <f>SUM(F541:K541)</f>
        <v>91497.85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91497.85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91497.85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1387866.6600000001</v>
      </c>
      <c r="G545" s="89">
        <f t="shared" ref="G545:L545" si="41">G524+G529+G534+G539+G544</f>
        <v>438583.54000000004</v>
      </c>
      <c r="H545" s="89">
        <f t="shared" si="41"/>
        <v>316269.90000000002</v>
      </c>
      <c r="I545" s="89">
        <f t="shared" si="41"/>
        <v>50615.31</v>
      </c>
      <c r="J545" s="89">
        <f t="shared" si="41"/>
        <v>3206.64</v>
      </c>
      <c r="K545" s="89">
        <f t="shared" si="41"/>
        <v>655</v>
      </c>
      <c r="L545" s="89">
        <f t="shared" si="41"/>
        <v>2197197.0500000003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1468305.85</v>
      </c>
      <c r="G549" s="87">
        <f>L526</f>
        <v>562916.41</v>
      </c>
      <c r="H549" s="87">
        <f>L531</f>
        <v>72482.83</v>
      </c>
      <c r="I549" s="87">
        <f>L536</f>
        <v>1994.11</v>
      </c>
      <c r="J549" s="87">
        <f>L541</f>
        <v>91497.85</v>
      </c>
      <c r="K549" s="87">
        <f>SUM(F549:J549)</f>
        <v>2197197.0500000003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1468305.85</v>
      </c>
      <c r="G552" s="89">
        <f t="shared" si="42"/>
        <v>562916.41</v>
      </c>
      <c r="H552" s="89">
        <f t="shared" si="42"/>
        <v>72482.83</v>
      </c>
      <c r="I552" s="89">
        <f t="shared" si="42"/>
        <v>1994.11</v>
      </c>
      <c r="J552" s="89">
        <f t="shared" si="42"/>
        <v>91497.85</v>
      </c>
      <c r="K552" s="89">
        <f t="shared" si="42"/>
        <v>2197197.0500000003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109651.79</v>
      </c>
      <c r="G582" s="18"/>
      <c r="H582" s="18"/>
      <c r="I582" s="87">
        <f t="shared" si="47"/>
        <v>109651.79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281287.4+27747.74</f>
        <v>309035.14</v>
      </c>
      <c r="I591" s="18"/>
      <c r="J591" s="18"/>
      <c r="K591" s="104">
        <f t="shared" ref="K591:K597" si="48">SUM(H591:J591)</f>
        <v>309035.14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70685.3+12597.12+8215.43</f>
        <v>91497.85</v>
      </c>
      <c r="I592" s="18"/>
      <c r="J592" s="18"/>
      <c r="K592" s="104">
        <f t="shared" si="48"/>
        <v>91497.85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184.41+1869.5</f>
        <v>2053.91</v>
      </c>
      <c r="I595" s="18"/>
      <c r="J595" s="18"/>
      <c r="K595" s="104">
        <f t="shared" si="48"/>
        <v>2053.91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402586.89999999997</v>
      </c>
      <c r="I598" s="108">
        <f>SUM(I591:I597)</f>
        <v>0</v>
      </c>
      <c r="J598" s="108">
        <f>SUM(J591:J597)</f>
        <v>0</v>
      </c>
      <c r="K598" s="108">
        <f>SUM(K591:K597)</f>
        <v>402586.89999999997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13895</v>
      </c>
      <c r="I603" s="18"/>
      <c r="J603" s="18"/>
      <c r="K603" s="104">
        <f>SUM(H603:J603)</f>
        <v>13895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30713.36+350+4891.55+16874.2+144.95</f>
        <v>52974.06</v>
      </c>
      <c r="I604" s="18"/>
      <c r="J604" s="18"/>
      <c r="K604" s="104">
        <f>SUM(H604:J604)</f>
        <v>52974.06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66869.06</v>
      </c>
      <c r="I605" s="108">
        <f>SUM(I602:I604)</f>
        <v>0</v>
      </c>
      <c r="J605" s="108">
        <f>SUM(J602:J604)</f>
        <v>0</v>
      </c>
      <c r="K605" s="108">
        <f>SUM(K602:K604)</f>
        <v>66869.06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25862.82</v>
      </c>
      <c r="G611" s="18"/>
      <c r="H611" s="18">
        <v>12990.3</v>
      </c>
      <c r="I611" s="18">
        <v>224.73</v>
      </c>
      <c r="J611" s="18"/>
      <c r="K611" s="18"/>
      <c r="L611" s="88">
        <f>SUM(F611:K611)</f>
        <v>39077.85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25862.82</v>
      </c>
      <c r="G614" s="108">
        <f t="shared" si="49"/>
        <v>0</v>
      </c>
      <c r="H614" s="108">
        <f t="shared" si="49"/>
        <v>12990.3</v>
      </c>
      <c r="I614" s="108">
        <f t="shared" si="49"/>
        <v>224.73</v>
      </c>
      <c r="J614" s="108">
        <f t="shared" si="49"/>
        <v>0</v>
      </c>
      <c r="K614" s="108">
        <f t="shared" si="49"/>
        <v>0</v>
      </c>
      <c r="L614" s="89">
        <f t="shared" si="49"/>
        <v>39077.85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1421538.6700000002</v>
      </c>
      <c r="H617" s="109">
        <f>SUM(F52)</f>
        <v>1421538.67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47628.83</v>
      </c>
      <c r="H618" s="109">
        <f>SUM(G52)</f>
        <v>47628.83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50701.14</v>
      </c>
      <c r="H619" s="109">
        <f>SUM(H52)</f>
        <v>50701.14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156761.04999999999</v>
      </c>
      <c r="H621" s="109">
        <f>SUM(J52)</f>
        <v>156761.04999999999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592814.9</v>
      </c>
      <c r="H622" s="109">
        <f>F476</f>
        <v>592814.89999999851</v>
      </c>
      <c r="I622" s="121" t="s">
        <v>101</v>
      </c>
      <c r="J622" s="109">
        <f t="shared" ref="J622:J655" si="50">G622-H622</f>
        <v>1.5133991837501526E-9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32413.829999999998</v>
      </c>
      <c r="H623" s="109">
        <f>G476</f>
        <v>32413.830000000045</v>
      </c>
      <c r="I623" s="121" t="s">
        <v>102</v>
      </c>
      <c r="J623" s="109">
        <f t="shared" si="50"/>
        <v>-4.7293724492192268E-11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12859.01</v>
      </c>
      <c r="H624" s="109">
        <f>H476</f>
        <v>12859.010000000009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156761.04999999999</v>
      </c>
      <c r="H626" s="109">
        <f>J476</f>
        <v>156761.05000000002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10648967.02</v>
      </c>
      <c r="H627" s="104">
        <f>SUM(F468)</f>
        <v>10648967.02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236499.82</v>
      </c>
      <c r="H628" s="104">
        <f>SUM(G468)</f>
        <v>236499.82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166241.69</v>
      </c>
      <c r="H629" s="104">
        <f>SUM(H468)</f>
        <v>166241.69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64057.14</v>
      </c>
      <c r="H631" s="104">
        <f>SUM(J468)</f>
        <v>64057.14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10632579.91</v>
      </c>
      <c r="H632" s="104">
        <f>SUM(F472)</f>
        <v>10632579.91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167821.56</v>
      </c>
      <c r="H633" s="104">
        <f>SUM(H472)</f>
        <v>167821.56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113421.67</v>
      </c>
      <c r="H634" s="104">
        <f>I369</f>
        <v>113421.67000000001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231677.33000000002</v>
      </c>
      <c r="H635" s="104">
        <f>SUM(G472)</f>
        <v>231677.33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64057.14</v>
      </c>
      <c r="H637" s="164">
        <f>SUM(J468)</f>
        <v>64057.14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62661.46</v>
      </c>
      <c r="H638" s="164">
        <f>SUM(J472)</f>
        <v>62661.46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156761.04999999999</v>
      </c>
      <c r="H640" s="104">
        <f>SUM(G461)</f>
        <v>156761.04999999999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156761.04999999999</v>
      </c>
      <c r="H642" s="104">
        <f>SUM(I461)</f>
        <v>156761.04999999999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1057.1400000000001</v>
      </c>
      <c r="H644" s="104">
        <f>H408</f>
        <v>1057.1400000000001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63000</v>
      </c>
      <c r="H645" s="104">
        <f>G408</f>
        <v>63000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64057.14</v>
      </c>
      <c r="H646" s="104">
        <f>L408</f>
        <v>64057.14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402586.89999999997</v>
      </c>
      <c r="H647" s="104">
        <f>L208+L226+L244</f>
        <v>402586.9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66869.06</v>
      </c>
      <c r="H648" s="104">
        <f>(J257+J338)-(J255+J336)</f>
        <v>66869.06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402586.9</v>
      </c>
      <c r="H649" s="104">
        <f>H598</f>
        <v>402586.89999999997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63000</v>
      </c>
      <c r="H655" s="104">
        <f>K266+K347</f>
        <v>63000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10875406.4</v>
      </c>
      <c r="G660" s="19">
        <f>(L229+L309+L359)</f>
        <v>0</v>
      </c>
      <c r="H660" s="19">
        <f>(L247+L328+L360)</f>
        <v>0</v>
      </c>
      <c r="I660" s="19">
        <f>SUM(F660:H660)</f>
        <v>10875406.4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196627.86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196627.86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402586.9</v>
      </c>
      <c r="G662" s="19">
        <f>(L226+L306)-(J226+J306)</f>
        <v>0</v>
      </c>
      <c r="H662" s="19">
        <f>(L244+L325)-(J244+J325)</f>
        <v>0</v>
      </c>
      <c r="I662" s="19">
        <f>SUM(F662:H662)</f>
        <v>402586.9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215598.69999999998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215598.69999999998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10060592.940000001</v>
      </c>
      <c r="G664" s="19">
        <f>G660-SUM(G661:G663)</f>
        <v>0</v>
      </c>
      <c r="H664" s="19">
        <f>H660-SUM(H661:H663)</f>
        <v>0</v>
      </c>
      <c r="I664" s="19">
        <f>I660-SUM(I661:I663)</f>
        <v>10060592.940000001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651.02</v>
      </c>
      <c r="G665" s="248"/>
      <c r="H665" s="248"/>
      <c r="I665" s="19">
        <f>SUM(F665:H665)</f>
        <v>651.02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15453.59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15453.59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15453.59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15453.59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Hollis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3502335.42</v>
      </c>
      <c r="C9" s="229">
        <f>'DOE25'!G197+'DOE25'!G215+'DOE25'!G233+'DOE25'!G276+'DOE25'!G295+'DOE25'!G314</f>
        <v>1481606.22</v>
      </c>
    </row>
    <row r="10" spans="1:3" x14ac:dyDescent="0.2">
      <c r="A10" t="s">
        <v>778</v>
      </c>
      <c r="B10" s="240">
        <v>3275090.71</v>
      </c>
      <c r="C10" s="240">
        <v>1445119.32</v>
      </c>
    </row>
    <row r="11" spans="1:3" x14ac:dyDescent="0.2">
      <c r="A11" t="s">
        <v>779</v>
      </c>
      <c r="B11" s="240">
        <v>126998.88</v>
      </c>
      <c r="C11" s="240">
        <v>10715.41</v>
      </c>
    </row>
    <row r="12" spans="1:3" x14ac:dyDescent="0.2">
      <c r="A12" t="s">
        <v>780</v>
      </c>
      <c r="B12" s="240">
        <v>100245.83</v>
      </c>
      <c r="C12" s="240">
        <f>7668.81+17402.68+700</f>
        <v>25771.49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3502335.42</v>
      </c>
      <c r="C13" s="231">
        <f>SUM(C10:C12)</f>
        <v>1481606.22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1041275.17</v>
      </c>
      <c r="C18" s="229">
        <f>'DOE25'!G198+'DOE25'!G216+'DOE25'!G234+'DOE25'!G277+'DOE25'!G296+'DOE25'!G315</f>
        <v>351888.33</v>
      </c>
    </row>
    <row r="19" spans="1:3" x14ac:dyDescent="0.2">
      <c r="A19" t="s">
        <v>778</v>
      </c>
      <c r="B19" s="240">
        <v>391183.78</v>
      </c>
      <c r="C19" s="240">
        <v>266497.61</v>
      </c>
    </row>
    <row r="20" spans="1:3" x14ac:dyDescent="0.2">
      <c r="A20" t="s">
        <v>779</v>
      </c>
      <c r="B20" s="240">
        <v>533028.56999999995</v>
      </c>
      <c r="C20" s="240">
        <f>40776.69+3000</f>
        <v>43776.69</v>
      </c>
    </row>
    <row r="21" spans="1:3" x14ac:dyDescent="0.2">
      <c r="A21" t="s">
        <v>780</v>
      </c>
      <c r="B21" s="240">
        <v>117062.82</v>
      </c>
      <c r="C21" s="240">
        <f>8955.31+15658.72+15000+2000</f>
        <v>41614.03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1041275.1699999999</v>
      </c>
      <c r="C22" s="231">
        <f>SUM(C19:C21)</f>
        <v>351888.32999999996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Hollis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6568861.0199999996</v>
      </c>
      <c r="D5" s="20">
        <f>SUM('DOE25'!L197:L200)+SUM('DOE25'!L215:L218)+SUM('DOE25'!L233:L236)-F5-G5</f>
        <v>6557362.6599999992</v>
      </c>
      <c r="E5" s="243"/>
      <c r="F5" s="255">
        <f>SUM('DOE25'!J197:J200)+SUM('DOE25'!J215:J218)+SUM('DOE25'!J233:J236)</f>
        <v>9805.4500000000007</v>
      </c>
      <c r="G5" s="53">
        <f>SUM('DOE25'!K197:K200)+SUM('DOE25'!K215:K218)+SUM('DOE25'!K233:K236)</f>
        <v>1692.91</v>
      </c>
      <c r="H5" s="259"/>
    </row>
    <row r="6" spans="1:9" x14ac:dyDescent="0.2">
      <c r="A6" s="32">
        <v>2100</v>
      </c>
      <c r="B6" t="s">
        <v>800</v>
      </c>
      <c r="C6" s="245">
        <f t="shared" si="0"/>
        <v>956820.74</v>
      </c>
      <c r="D6" s="20">
        <f>'DOE25'!L202+'DOE25'!L220+'DOE25'!L238-F6-G6</f>
        <v>956018.24</v>
      </c>
      <c r="E6" s="243"/>
      <c r="F6" s="255">
        <f>'DOE25'!J202+'DOE25'!J220+'DOE25'!J238</f>
        <v>502.5</v>
      </c>
      <c r="G6" s="53">
        <f>'DOE25'!K202+'DOE25'!K220+'DOE25'!K238</f>
        <v>300</v>
      </c>
      <c r="H6" s="259"/>
    </row>
    <row r="7" spans="1:9" x14ac:dyDescent="0.2">
      <c r="A7" s="32">
        <v>2200</v>
      </c>
      <c r="B7" t="s">
        <v>833</v>
      </c>
      <c r="C7" s="245">
        <f t="shared" si="0"/>
        <v>331801.82</v>
      </c>
      <c r="D7" s="20">
        <f>'DOE25'!L203+'DOE25'!L221+'DOE25'!L239-F7-G7</f>
        <v>324040.01</v>
      </c>
      <c r="E7" s="243"/>
      <c r="F7" s="255">
        <f>'DOE25'!J203+'DOE25'!J221+'DOE25'!J239</f>
        <v>7761.81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312294.29999999993</v>
      </c>
      <c r="D8" s="243"/>
      <c r="E8" s="20">
        <f>'DOE25'!L204+'DOE25'!L222+'DOE25'!L240-F8-G8-D9-D11</f>
        <v>312294.29999999993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38860.74</v>
      </c>
      <c r="D9" s="244">
        <v>38860.74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7650</v>
      </c>
      <c r="D10" s="243"/>
      <c r="E10" s="244">
        <v>7650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116591.7</v>
      </c>
      <c r="D11" s="244">
        <v>116591.7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733663.38</v>
      </c>
      <c r="D12" s="20">
        <f>'DOE25'!L205+'DOE25'!L223+'DOE25'!L241-F12-G12</f>
        <v>731526.38</v>
      </c>
      <c r="E12" s="243"/>
      <c r="F12" s="255">
        <f>'DOE25'!J205+'DOE25'!J223+'DOE25'!J241</f>
        <v>577</v>
      </c>
      <c r="G12" s="53">
        <f>'DOE25'!K205+'DOE25'!K223+'DOE25'!K241</f>
        <v>1560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759.54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759.54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1013667.3699999999</v>
      </c>
      <c r="D14" s="20">
        <f>'DOE25'!L207+'DOE25'!L225+'DOE25'!L243-F14-G14</f>
        <v>982319.2699999999</v>
      </c>
      <c r="E14" s="243"/>
      <c r="F14" s="255">
        <f>'DOE25'!J207+'DOE25'!J225+'DOE25'!J243</f>
        <v>31348.1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402586.9</v>
      </c>
      <c r="D15" s="20">
        <f>'DOE25'!L208+'DOE25'!L226+'DOE25'!L244-F15-G15</f>
        <v>402586.9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93672.4</v>
      </c>
      <c r="D22" s="243"/>
      <c r="E22" s="243"/>
      <c r="F22" s="255">
        <f>'DOE25'!L255+'DOE25'!L336</f>
        <v>93672.4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146941.09000000003</v>
      </c>
      <c r="D29" s="20">
        <f>'DOE25'!L358+'DOE25'!L359+'DOE25'!L360-'DOE25'!I367-F29-G29</f>
        <v>146791.09000000003</v>
      </c>
      <c r="E29" s="243"/>
      <c r="F29" s="255">
        <f>'DOE25'!J358+'DOE25'!J359+'DOE25'!J360</f>
        <v>0</v>
      </c>
      <c r="G29" s="53">
        <f>'DOE25'!K358+'DOE25'!K359+'DOE25'!K360</f>
        <v>150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167821.56</v>
      </c>
      <c r="D31" s="20">
        <f>'DOE25'!L290+'DOE25'!L309+'DOE25'!L328+'DOE25'!L333+'DOE25'!L334+'DOE25'!L335-F31-G31</f>
        <v>150947.35999999999</v>
      </c>
      <c r="E31" s="243"/>
      <c r="F31" s="255">
        <f>'DOE25'!J290+'DOE25'!J309+'DOE25'!J328+'DOE25'!J333+'DOE25'!J334+'DOE25'!J335</f>
        <v>16874.2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10407044.35</v>
      </c>
      <c r="E33" s="246">
        <f>SUM(E5:E31)</f>
        <v>319944.29999999993</v>
      </c>
      <c r="F33" s="246">
        <f>SUM(F5:F31)</f>
        <v>160541.46000000002</v>
      </c>
      <c r="G33" s="246">
        <f>SUM(G5:G31)</f>
        <v>4462.45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319944.29999999993</v>
      </c>
      <c r="E35" s="249"/>
    </row>
    <row r="36" spans="2:8" ht="12" thickTop="1" x14ac:dyDescent="0.2">
      <c r="B36" t="s">
        <v>814</v>
      </c>
      <c r="D36" s="20">
        <f>D33</f>
        <v>10407044.35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575721.16</v>
      </c>
      <c r="D8" s="95">
        <f>'DOE25'!G9</f>
        <v>9082.76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780025.6</v>
      </c>
      <c r="D11" s="95">
        <f>'DOE25'!G12</f>
        <v>30304.85</v>
      </c>
      <c r="E11" s="95">
        <f>'DOE25'!H12</f>
        <v>12859.01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2551.5</v>
      </c>
      <c r="D12" s="95">
        <f>'DOE25'!G13</f>
        <v>2005.22</v>
      </c>
      <c r="E12" s="95">
        <f>'DOE25'!H13</f>
        <v>37842.129999999997</v>
      </c>
      <c r="F12" s="95">
        <f>'DOE25'!I13</f>
        <v>0</v>
      </c>
      <c r="G12" s="95">
        <f>'DOE25'!J13</f>
        <v>156761.04999999999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59286.559999999998</v>
      </c>
      <c r="D13" s="95">
        <f>'DOE25'!G14</f>
        <v>11.7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6224.3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3953.85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1421538.6700000002</v>
      </c>
      <c r="D18" s="41">
        <f>SUM(D8:D17)</f>
        <v>47628.83</v>
      </c>
      <c r="E18" s="41">
        <f>SUM(E8:E17)</f>
        <v>50701.14</v>
      </c>
      <c r="F18" s="41">
        <f>SUM(F8:F17)</f>
        <v>0</v>
      </c>
      <c r="G18" s="41">
        <f>SUM(G8:G17)</f>
        <v>156761.04999999999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725762.37</v>
      </c>
      <c r="D21" s="95">
        <f>'DOE25'!G22</f>
        <v>0</v>
      </c>
      <c r="E21" s="95">
        <f>'DOE25'!H22</f>
        <v>37817.129999999997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1746.87</v>
      </c>
      <c r="D22" s="95">
        <f>'DOE25'!G23</f>
        <v>193.85</v>
      </c>
      <c r="E22" s="95">
        <f>'DOE25'!H23</f>
        <v>25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27895.24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71879.289999999994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1440</v>
      </c>
      <c r="D29" s="95">
        <f>'DOE25'!G30</f>
        <v>15021.15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828723.77</v>
      </c>
      <c r="D31" s="41">
        <f>SUM(D21:D30)</f>
        <v>15215</v>
      </c>
      <c r="E31" s="41">
        <f>SUM(E21:E30)</f>
        <v>37842.129999999997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6224.3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3953.85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26189.53</v>
      </c>
      <c r="E42" s="95">
        <f>'DOE25'!H43</f>
        <v>12859.01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79000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152000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156761.04999999999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3220.93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354640.12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592814.9</v>
      </c>
      <c r="D50" s="41">
        <f>SUM(D34:D49)</f>
        <v>32413.829999999998</v>
      </c>
      <c r="E50" s="41">
        <f>SUM(E34:E49)</f>
        <v>12859.01</v>
      </c>
      <c r="F50" s="41">
        <f>SUM(F34:F49)</f>
        <v>0</v>
      </c>
      <c r="G50" s="41">
        <f>SUM(G34:G49)</f>
        <v>156761.04999999999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1421538.67</v>
      </c>
      <c r="D51" s="41">
        <f>D50+D31</f>
        <v>47628.83</v>
      </c>
      <c r="E51" s="41">
        <f>E50+E31</f>
        <v>50701.14</v>
      </c>
      <c r="F51" s="41">
        <f>F50+F31</f>
        <v>0</v>
      </c>
      <c r="G51" s="41">
        <f>G50+G31</f>
        <v>156761.04999999999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8253593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22882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1233.4100000000001</v>
      </c>
      <c r="D59" s="95">
        <f>'DOE25'!G96</f>
        <v>45.2</v>
      </c>
      <c r="E59" s="95">
        <f>'DOE25'!H96</f>
        <v>0</v>
      </c>
      <c r="F59" s="95">
        <f>'DOE25'!I96</f>
        <v>0</v>
      </c>
      <c r="G59" s="95">
        <f>'DOE25'!J96</f>
        <v>1057.1400000000001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196627.86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8638.19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32753.599999999999</v>
      </c>
      <c r="D62" s="130">
        <f>SUM(D57:D61)</f>
        <v>196673.06</v>
      </c>
      <c r="E62" s="130">
        <f>SUM(E57:E61)</f>
        <v>0</v>
      </c>
      <c r="F62" s="130">
        <f>SUM(F57:F61)</f>
        <v>0</v>
      </c>
      <c r="G62" s="130">
        <f>SUM(G57:G61)</f>
        <v>1057.1400000000001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8286346.5999999996</v>
      </c>
      <c r="D63" s="22">
        <f>D56+D62</f>
        <v>196673.06</v>
      </c>
      <c r="E63" s="22">
        <f>E56+E62</f>
        <v>0</v>
      </c>
      <c r="F63" s="22">
        <f>F56+F62</f>
        <v>0</v>
      </c>
      <c r="G63" s="22">
        <f>G56+G62</f>
        <v>1057.1400000000001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904001.03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1378318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2282319.0300000003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39129.72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2432.5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39129.72</v>
      </c>
      <c r="D78" s="130">
        <f>SUM(D72:D77)</f>
        <v>2432.5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2321448.7500000005</v>
      </c>
      <c r="D81" s="130">
        <f>SUM(D79:D80)+D78+D70</f>
        <v>2432.5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11879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41171.67</v>
      </c>
      <c r="D88" s="95">
        <f>SUM('DOE25'!G153:G161)</f>
        <v>25515.260000000002</v>
      </c>
      <c r="E88" s="95">
        <f>SUM('DOE25'!H153:H161)</f>
        <v>166241.69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41171.67</v>
      </c>
      <c r="D91" s="131">
        <f>SUM(D85:D90)</f>
        <v>37394.26</v>
      </c>
      <c r="E91" s="131">
        <f>SUM(E85:E90)</f>
        <v>166241.69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63000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63000</v>
      </c>
    </row>
    <row r="104" spans="1:7" ht="12.75" thickTop="1" thickBot="1" x14ac:dyDescent="0.25">
      <c r="A104" s="33" t="s">
        <v>764</v>
      </c>
      <c r="C104" s="86">
        <f>C63+C81+C91+C103</f>
        <v>10648967.02</v>
      </c>
      <c r="D104" s="86">
        <f>D63+D81+D91+D103</f>
        <v>236499.82</v>
      </c>
      <c r="E104" s="86">
        <f>E63+E81+E91+E103</f>
        <v>166241.69</v>
      </c>
      <c r="F104" s="86">
        <f>F63+F81+F91+F103</f>
        <v>0</v>
      </c>
      <c r="G104" s="86">
        <f>G63+G81+G103</f>
        <v>64057.14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5135881.2299999995</v>
      </c>
      <c r="D109" s="24" t="s">
        <v>288</v>
      </c>
      <c r="E109" s="95">
        <f>('DOE25'!L276)+('DOE25'!L295)+('DOE25'!L314)</f>
        <v>17327.2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1432979.79</v>
      </c>
      <c r="D110" s="24" t="s">
        <v>288</v>
      </c>
      <c r="E110" s="95">
        <f>('DOE25'!L277)+('DOE25'!L296)+('DOE25'!L315)</f>
        <v>134318.49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1579.87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6568861.0199999996</v>
      </c>
      <c r="D115" s="86">
        <f>SUM(D109:D114)</f>
        <v>0</v>
      </c>
      <c r="E115" s="86">
        <f>SUM(E109:E114)</f>
        <v>153225.56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956820.74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331801.82</v>
      </c>
      <c r="D119" s="24" t="s">
        <v>288</v>
      </c>
      <c r="E119" s="95">
        <f>+('DOE25'!L282)+('DOE25'!L301)+('DOE25'!L320)</f>
        <v>14596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467746.73999999993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733663.38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759.54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1013667.3699999999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402586.9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231677.33000000002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3907046.4899999998</v>
      </c>
      <c r="D128" s="86">
        <f>SUM(D118:D127)</f>
        <v>231677.33000000002</v>
      </c>
      <c r="E128" s="86">
        <f>SUM(E118:E127)</f>
        <v>14596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93672.4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64057.14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-1057.1399999999994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156672.39999999997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10632579.91</v>
      </c>
      <c r="D145" s="86">
        <f>(D115+D128+D144)</f>
        <v>231677.33000000002</v>
      </c>
      <c r="E145" s="86">
        <f>(E115+E128+E144)</f>
        <v>167821.56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Hollis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15454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15454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5153208</v>
      </c>
      <c r="D10" s="182">
        <f>ROUND((C10/$C$28)*100,1)</f>
        <v>48.3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1567298</v>
      </c>
      <c r="D11" s="182">
        <f>ROUND((C11/$C$28)*100,1)</f>
        <v>14.7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1580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956821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346398</v>
      </c>
      <c r="D16" s="182">
        <f t="shared" si="0"/>
        <v>3.2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467747</v>
      </c>
      <c r="D17" s="182">
        <f t="shared" si="0"/>
        <v>4.4000000000000004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733663</v>
      </c>
      <c r="D18" s="182">
        <f t="shared" si="0"/>
        <v>6.9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760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1013667</v>
      </c>
      <c r="D20" s="182">
        <f t="shared" si="0"/>
        <v>9.5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402587</v>
      </c>
      <c r="D21" s="182">
        <f t="shared" si="0"/>
        <v>3.8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35049.140000000014</v>
      </c>
      <c r="D27" s="182">
        <f t="shared" si="0"/>
        <v>0.3</v>
      </c>
    </row>
    <row r="28" spans="1:4" x14ac:dyDescent="0.2">
      <c r="B28" s="187" t="s">
        <v>722</v>
      </c>
      <c r="C28" s="180">
        <f>SUM(C10:C27)</f>
        <v>10678778.140000001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93672</v>
      </c>
    </row>
    <row r="30" spans="1:4" x14ac:dyDescent="0.2">
      <c r="B30" s="187" t="s">
        <v>728</v>
      </c>
      <c r="C30" s="180">
        <f>SUM(C28:C29)</f>
        <v>10772450.140000001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8253593</v>
      </c>
      <c r="D35" s="182">
        <f t="shared" ref="D35:D40" si="1">ROUND((C35/$C$41)*100,1)</f>
        <v>76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33855.94000000041</v>
      </c>
      <c r="D36" s="182">
        <f t="shared" si="1"/>
        <v>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2282319</v>
      </c>
      <c r="D37" s="182">
        <f t="shared" si="1"/>
        <v>21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41562</v>
      </c>
      <c r="D38" s="182">
        <f t="shared" si="1"/>
        <v>0.4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244808</v>
      </c>
      <c r="D39" s="182">
        <f t="shared" si="1"/>
        <v>2.2999999999999998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10856137.940000001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Hollis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2017-10-12T12:10:48Z</cp:lastPrinted>
  <dcterms:created xsi:type="dcterms:W3CDTF">1997-12-04T19:04:30Z</dcterms:created>
  <dcterms:modified xsi:type="dcterms:W3CDTF">2017-11-29T17:30:20Z</dcterms:modified>
</cp:coreProperties>
</file>