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200" windowHeight="676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C11" i="12"/>
  <c r="C10" i="12"/>
  <c r="C20" i="12"/>
  <c r="B20" i="12"/>
  <c r="B19" i="12"/>
  <c r="B10" i="12"/>
  <c r="B37" i="12"/>
  <c r="C21" i="12"/>
  <c r="B21" i="12"/>
  <c r="C12" i="12"/>
  <c r="B12" i="12"/>
  <c r="C38" i="12"/>
  <c r="C37" i="12"/>
  <c r="C39" i="12"/>
  <c r="B39" i="12"/>
  <c r="B11" i="12"/>
  <c r="J521" i="1" l="1"/>
  <c r="H522" i="1"/>
  <c r="I521" i="1"/>
  <c r="H526" i="1"/>
  <c r="H527" i="1"/>
  <c r="J522" i="1"/>
  <c r="I522" i="1"/>
  <c r="H521" i="1"/>
  <c r="G522" i="1"/>
  <c r="G521" i="1"/>
  <c r="F522" i="1"/>
  <c r="F521" i="1"/>
  <c r="H523" i="1"/>
  <c r="G523" i="1"/>
  <c r="F523" i="1"/>
  <c r="I527" i="1"/>
  <c r="G527" i="1"/>
  <c r="F527" i="1"/>
  <c r="H532" i="1"/>
  <c r="J526" i="1"/>
  <c r="I526" i="1"/>
  <c r="G526" i="1"/>
  <c r="F526" i="1"/>
  <c r="I531" i="1"/>
  <c r="H531" i="1"/>
  <c r="K521" i="1"/>
  <c r="H528" i="1"/>
  <c r="G528" i="1"/>
  <c r="F528" i="1"/>
  <c r="I528" i="1"/>
  <c r="J533" i="1"/>
  <c r="J532" i="1"/>
  <c r="J531" i="1"/>
  <c r="I533" i="1"/>
  <c r="I532" i="1"/>
  <c r="H533" i="1"/>
  <c r="G533" i="1"/>
  <c r="F533" i="1"/>
  <c r="G532" i="1"/>
  <c r="F532" i="1"/>
  <c r="G531" i="1"/>
  <c r="F531" i="1"/>
  <c r="G612" i="1" l="1"/>
  <c r="F612" i="1"/>
  <c r="G611" i="1"/>
  <c r="F611" i="1"/>
  <c r="J611" i="1"/>
  <c r="I611" i="1"/>
  <c r="F568" i="1"/>
  <c r="F567" i="1"/>
  <c r="I604" i="1" l="1"/>
  <c r="H604" i="1"/>
  <c r="J296" i="1"/>
  <c r="J276" i="1"/>
  <c r="I276" i="1"/>
  <c r="G276" i="1"/>
  <c r="F276" i="1"/>
  <c r="I301" i="1"/>
  <c r="I282" i="1"/>
  <c r="H301" i="1"/>
  <c r="H282" i="1"/>
  <c r="G301" i="1"/>
  <c r="G282" i="1"/>
  <c r="F301" i="1"/>
  <c r="F282" i="1"/>
  <c r="H279" i="1"/>
  <c r="I277" i="1"/>
  <c r="H277" i="1"/>
  <c r="J307" i="1"/>
  <c r="J288" i="1"/>
  <c r="H288" i="1"/>
  <c r="H307" i="1"/>
  <c r="H305" i="1"/>
  <c r="H286" i="1"/>
  <c r="K304" i="1"/>
  <c r="K285" i="1"/>
  <c r="H300" i="1"/>
  <c r="H281" i="1"/>
  <c r="J277" i="1"/>
  <c r="I296" i="1"/>
  <c r="H296" i="1"/>
  <c r="G296" i="1"/>
  <c r="G277" i="1"/>
  <c r="F277" i="1"/>
  <c r="F296" i="1"/>
  <c r="G197" i="1"/>
  <c r="J227" i="1"/>
  <c r="J209" i="1"/>
  <c r="I227" i="1"/>
  <c r="I209" i="1"/>
  <c r="H227" i="1"/>
  <c r="H209" i="1"/>
  <c r="G227" i="1"/>
  <c r="G209" i="1"/>
  <c r="F227" i="1"/>
  <c r="F209" i="1"/>
  <c r="I225" i="1"/>
  <c r="I207" i="1"/>
  <c r="H225" i="1"/>
  <c r="H207" i="1"/>
  <c r="G225" i="1"/>
  <c r="G207" i="1"/>
  <c r="F225" i="1"/>
  <c r="F207" i="1"/>
  <c r="H223" i="1"/>
  <c r="H205" i="1"/>
  <c r="H222" i="1"/>
  <c r="H204" i="1"/>
  <c r="K222" i="1"/>
  <c r="K204" i="1"/>
  <c r="I222" i="1"/>
  <c r="I204" i="1"/>
  <c r="G222" i="1"/>
  <c r="G204" i="1"/>
  <c r="F222" i="1"/>
  <c r="F204" i="1"/>
  <c r="G221" i="1"/>
  <c r="G203" i="1"/>
  <c r="F221" i="1"/>
  <c r="F203" i="1"/>
  <c r="I221" i="1"/>
  <c r="I203" i="1"/>
  <c r="H221" i="1"/>
  <c r="H203" i="1"/>
  <c r="K220" i="1"/>
  <c r="K202" i="1"/>
  <c r="H220" i="1"/>
  <c r="H202" i="1"/>
  <c r="G220" i="1"/>
  <c r="G202" i="1"/>
  <c r="F220" i="1"/>
  <c r="F202" i="1"/>
  <c r="I220" i="1"/>
  <c r="I202" i="1"/>
  <c r="G216" i="1"/>
  <c r="G198" i="1"/>
  <c r="F216" i="1"/>
  <c r="F198" i="1"/>
  <c r="H216" i="1"/>
  <c r="H198" i="1"/>
  <c r="J216" i="1"/>
  <c r="J198" i="1"/>
  <c r="I216" i="1"/>
  <c r="I198" i="1"/>
  <c r="G234" i="1"/>
  <c r="F234" i="1"/>
  <c r="I215" i="1"/>
  <c r="I197" i="1"/>
  <c r="G215" i="1"/>
  <c r="F215" i="1"/>
  <c r="F197" i="1"/>
  <c r="H244" i="1"/>
  <c r="H226" i="1"/>
  <c r="H208" i="1"/>
  <c r="H234" i="1"/>
  <c r="H233" i="1"/>
  <c r="G223" i="1"/>
  <c r="G218" i="1"/>
  <c r="J207" i="1"/>
  <c r="K205" i="1"/>
  <c r="J205" i="1"/>
  <c r="I205" i="1"/>
  <c r="G205" i="1"/>
  <c r="F205" i="1"/>
  <c r="K203" i="1"/>
  <c r="J203" i="1"/>
  <c r="J202" i="1" l="1"/>
  <c r="G200" i="1"/>
  <c r="K198" i="1"/>
  <c r="H197" i="1"/>
  <c r="F200" i="1"/>
  <c r="I200" i="1"/>
  <c r="J197" i="1"/>
  <c r="J225" i="1" l="1"/>
  <c r="K223" i="1"/>
  <c r="J223" i="1"/>
  <c r="I223" i="1"/>
  <c r="F223" i="1"/>
  <c r="K221" i="1"/>
  <c r="J221" i="1"/>
  <c r="J220" i="1"/>
  <c r="I218" i="1"/>
  <c r="F218" i="1"/>
  <c r="K218" i="1"/>
  <c r="J218" i="1"/>
  <c r="H218" i="1"/>
  <c r="J215" i="1"/>
  <c r="H215" i="1"/>
  <c r="H358" i="1"/>
  <c r="I358" i="1"/>
  <c r="G368" i="1"/>
  <c r="F368" i="1"/>
  <c r="G367" i="1"/>
  <c r="F367" i="1"/>
  <c r="G359" i="1"/>
  <c r="G358" i="1"/>
  <c r="I359" i="1"/>
  <c r="J359" i="1"/>
  <c r="J358" i="1"/>
  <c r="K359" i="1"/>
  <c r="K358" i="1"/>
  <c r="F359" i="1"/>
  <c r="F358" i="1"/>
  <c r="H359" i="1"/>
  <c r="H595" i="1"/>
  <c r="F101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E13" i="13" s="1"/>
  <c r="C13" i="13" s="1"/>
  <c r="L206" i="1"/>
  <c r="L224" i="1"/>
  <c r="C122" i="2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47" i="1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C21" i="10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E119" i="2" s="1"/>
  <c r="L302" i="1"/>
  <c r="L303" i="1"/>
  <c r="L304" i="1"/>
  <c r="L305" i="1"/>
  <c r="L306" i="1"/>
  <c r="L307" i="1"/>
  <c r="E125" i="2" s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I60" i="1"/>
  <c r="F79" i="1"/>
  <c r="C57" i="2" s="1"/>
  <c r="F94" i="1"/>
  <c r="C58" i="2" s="1"/>
  <c r="F111" i="1"/>
  <c r="F112" i="1" s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I147" i="1"/>
  <c r="I169" i="1" s="1"/>
  <c r="I162" i="1"/>
  <c r="C12" i="10"/>
  <c r="L250" i="1"/>
  <c r="L332" i="1"/>
  <c r="L254" i="1"/>
  <c r="C25" i="10"/>
  <c r="L268" i="1"/>
  <c r="L269" i="1"/>
  <c r="L349" i="1"/>
  <c r="L350" i="1"/>
  <c r="E143" i="2" s="1"/>
  <c r="I665" i="1"/>
  <c r="I670" i="1"/>
  <c r="F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E57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2" i="2"/>
  <c r="C113" i="2"/>
  <c r="E113" i="2"/>
  <c r="E114" i="2"/>
  <c r="D115" i="2"/>
  <c r="F115" i="2"/>
  <c r="G115" i="2"/>
  <c r="E118" i="2"/>
  <c r="C120" i="2"/>
  <c r="E120" i="2"/>
  <c r="E121" i="2"/>
  <c r="E123" i="2"/>
  <c r="E124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F470" i="1"/>
  <c r="G470" i="1"/>
  <c r="H470" i="1"/>
  <c r="H476" i="1" s="1"/>
  <c r="H624" i="1" s="1"/>
  <c r="I470" i="1"/>
  <c r="J470" i="1"/>
  <c r="J476" i="1" s="1"/>
  <c r="H626" i="1" s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J641" i="1" s="1"/>
  <c r="G643" i="1"/>
  <c r="J643" i="1" s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L256" i="1"/>
  <c r="G164" i="2"/>
  <c r="C26" i="10"/>
  <c r="L351" i="1"/>
  <c r="C70" i="2"/>
  <c r="D18" i="13"/>
  <c r="C18" i="13" s="1"/>
  <c r="D17" i="13"/>
  <c r="C17" i="13" s="1"/>
  <c r="F78" i="2"/>
  <c r="F81" i="2" s="1"/>
  <c r="C78" i="2"/>
  <c r="D50" i="2"/>
  <c r="F18" i="2"/>
  <c r="G156" i="2"/>
  <c r="E103" i="2"/>
  <c r="E62" i="2"/>
  <c r="E63" i="2" s="1"/>
  <c r="G62" i="2"/>
  <c r="D19" i="13"/>
  <c r="C19" i="13" s="1"/>
  <c r="E78" i="2"/>
  <c r="J571" i="1"/>
  <c r="D81" i="2"/>
  <c r="H169" i="1"/>
  <c r="F476" i="1"/>
  <c r="H622" i="1" s="1"/>
  <c r="F169" i="1"/>
  <c r="G22" i="2"/>
  <c r="H552" i="1"/>
  <c r="F22" i="13"/>
  <c r="C22" i="13" s="1"/>
  <c r="H571" i="1"/>
  <c r="H338" i="1"/>
  <c r="H352" i="1" s="1"/>
  <c r="I571" i="1"/>
  <c r="G36" i="2"/>
  <c r="A13" i="12" l="1"/>
  <c r="J545" i="1"/>
  <c r="I545" i="1"/>
  <c r="G545" i="1"/>
  <c r="K551" i="1"/>
  <c r="L529" i="1"/>
  <c r="G552" i="1"/>
  <c r="F552" i="1"/>
  <c r="K549" i="1"/>
  <c r="J552" i="1"/>
  <c r="I552" i="1"/>
  <c r="H545" i="1"/>
  <c r="L565" i="1"/>
  <c r="L570" i="1"/>
  <c r="E81" i="2"/>
  <c r="F338" i="1"/>
  <c r="F352" i="1" s="1"/>
  <c r="J338" i="1"/>
  <c r="J352" i="1" s="1"/>
  <c r="L309" i="1"/>
  <c r="E122" i="2"/>
  <c r="E128" i="2" s="1"/>
  <c r="L290" i="1"/>
  <c r="E110" i="2"/>
  <c r="E115" i="2" s="1"/>
  <c r="G338" i="1"/>
  <c r="G352" i="1" s="1"/>
  <c r="H25" i="13"/>
  <c r="C32" i="10"/>
  <c r="E16" i="13"/>
  <c r="E8" i="13"/>
  <c r="C8" i="13" s="1"/>
  <c r="K605" i="1"/>
  <c r="G648" i="1" s="1"/>
  <c r="J651" i="1"/>
  <c r="H662" i="1"/>
  <c r="C124" i="2"/>
  <c r="J649" i="1"/>
  <c r="C10" i="10"/>
  <c r="D7" i="13"/>
  <c r="C7" i="13" s="1"/>
  <c r="E33" i="13"/>
  <c r="D35" i="13" s="1"/>
  <c r="C17" i="10"/>
  <c r="C18" i="10"/>
  <c r="C110" i="2"/>
  <c r="C29" i="10"/>
  <c r="C118" i="2"/>
  <c r="H257" i="1"/>
  <c r="H271" i="1" s="1"/>
  <c r="F257" i="1"/>
  <c r="F271" i="1" s="1"/>
  <c r="J257" i="1"/>
  <c r="J271" i="1" s="1"/>
  <c r="I257" i="1"/>
  <c r="I271" i="1" s="1"/>
  <c r="C109" i="2"/>
  <c r="C125" i="2"/>
  <c r="C20" i="10"/>
  <c r="D14" i="13"/>
  <c r="C14" i="13" s="1"/>
  <c r="C121" i="2"/>
  <c r="D12" i="13"/>
  <c r="C12" i="13" s="1"/>
  <c r="C16" i="10"/>
  <c r="K257" i="1"/>
  <c r="K271" i="1" s="1"/>
  <c r="A40" i="12"/>
  <c r="C13" i="10"/>
  <c r="G257" i="1"/>
  <c r="G271" i="1" s="1"/>
  <c r="C11" i="10"/>
  <c r="L229" i="1"/>
  <c r="D5" i="13"/>
  <c r="C5" i="13" s="1"/>
  <c r="G476" i="1"/>
  <c r="H623" i="1" s="1"/>
  <c r="J623" i="1" s="1"/>
  <c r="I369" i="1"/>
  <c r="H634" i="1" s="1"/>
  <c r="J634" i="1"/>
  <c r="H661" i="1"/>
  <c r="D127" i="2"/>
  <c r="D128" i="2" s="1"/>
  <c r="D145" i="2" s="1"/>
  <c r="F661" i="1"/>
  <c r="G661" i="1"/>
  <c r="D91" i="2"/>
  <c r="K598" i="1"/>
  <c r="G647" i="1" s="1"/>
  <c r="J647" i="1" s="1"/>
  <c r="J644" i="1"/>
  <c r="J640" i="1"/>
  <c r="J639" i="1"/>
  <c r="J645" i="1"/>
  <c r="J655" i="1"/>
  <c r="D31" i="2"/>
  <c r="D51" i="2" s="1"/>
  <c r="D18" i="2"/>
  <c r="H52" i="1"/>
  <c r="H619" i="1" s="1"/>
  <c r="E31" i="2"/>
  <c r="C91" i="2"/>
  <c r="J622" i="1"/>
  <c r="J617" i="1"/>
  <c r="C18" i="2"/>
  <c r="H660" i="1"/>
  <c r="C16" i="13"/>
  <c r="K550" i="1"/>
  <c r="D29" i="13"/>
  <c r="C29" i="13" s="1"/>
  <c r="C81" i="2"/>
  <c r="G624" i="1"/>
  <c r="J624" i="1" s="1"/>
  <c r="L534" i="1"/>
  <c r="K500" i="1"/>
  <c r="I460" i="1"/>
  <c r="I452" i="1"/>
  <c r="I446" i="1"/>
  <c r="G642" i="1" s="1"/>
  <c r="C123" i="2"/>
  <c r="C119" i="2"/>
  <c r="C112" i="2"/>
  <c r="F85" i="2"/>
  <c r="L211" i="1"/>
  <c r="L362" i="1"/>
  <c r="C27" i="10" s="1"/>
  <c r="G81" i="2"/>
  <c r="C62" i="2"/>
  <c r="C63" i="2" s="1"/>
  <c r="D56" i="2"/>
  <c r="D63" i="2" s="1"/>
  <c r="G662" i="1"/>
  <c r="C19" i="10"/>
  <c r="C15" i="10"/>
  <c r="G112" i="1"/>
  <c r="C36" i="10" s="1"/>
  <c r="K503" i="1"/>
  <c r="L382" i="1"/>
  <c r="G636" i="1" s="1"/>
  <c r="J636" i="1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H646" i="1"/>
  <c r="G50" i="2"/>
  <c r="G51" i="2" s="1"/>
  <c r="J652" i="1"/>
  <c r="G571" i="1"/>
  <c r="I434" i="1"/>
  <c r="G434" i="1"/>
  <c r="I663" i="1"/>
  <c r="K552" i="1" l="1"/>
  <c r="L545" i="1"/>
  <c r="G660" i="1"/>
  <c r="L338" i="1"/>
  <c r="L352" i="1" s="1"/>
  <c r="G633" i="1" s="1"/>
  <c r="J633" i="1" s="1"/>
  <c r="E145" i="2"/>
  <c r="C25" i="13"/>
  <c r="H33" i="13"/>
  <c r="I662" i="1"/>
  <c r="H648" i="1"/>
  <c r="J648" i="1" s="1"/>
  <c r="C115" i="2"/>
  <c r="C128" i="2"/>
  <c r="C28" i="10"/>
  <c r="D24" i="10" s="1"/>
  <c r="L257" i="1"/>
  <c r="L271" i="1" s="1"/>
  <c r="G632" i="1" s="1"/>
  <c r="J632" i="1" s="1"/>
  <c r="H664" i="1"/>
  <c r="H667" i="1" s="1"/>
  <c r="G635" i="1"/>
  <c r="J635" i="1" s="1"/>
  <c r="G664" i="1"/>
  <c r="I661" i="1"/>
  <c r="E51" i="2"/>
  <c r="C104" i="2"/>
  <c r="D104" i="2"/>
  <c r="I461" i="1"/>
  <c r="H642" i="1" s="1"/>
  <c r="J642" i="1" s="1"/>
  <c r="D31" i="13"/>
  <c r="C31" i="13" s="1"/>
  <c r="F660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D23" i="10"/>
  <c r="D26" i="10"/>
  <c r="D16" i="10"/>
  <c r="D10" i="10"/>
  <c r="C30" i="10"/>
  <c r="D20" i="10"/>
  <c r="D15" i="10"/>
  <c r="D25" i="10"/>
  <c r="D19" i="10"/>
  <c r="D13" i="10"/>
  <c r="D11" i="10"/>
  <c r="D21" i="10"/>
  <c r="D22" i="10"/>
  <c r="D27" i="10"/>
  <c r="D18" i="10"/>
  <c r="D17" i="10"/>
  <c r="D12" i="10"/>
  <c r="H672" i="1"/>
  <c r="C6" i="10" s="1"/>
  <c r="G667" i="1"/>
  <c r="G672" i="1"/>
  <c r="C5" i="10" s="1"/>
  <c r="D33" i="13"/>
  <c r="D36" i="13" s="1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<sst xmlns="http://schemas.openxmlformats.org/spreadsheetml/2006/main" count="3957" uniqueCount="915">
  <si>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</si>
  <si>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</si>
  <si>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</si>
  <si>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</si>
  <si>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</si>
  <si>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</si>
  <si>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</si>
  <si>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</si>
  <si>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</si>
  <si>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</si>
  <si>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</si>
  <si>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</si>
  <si>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</si>
  <si>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</si>
  <si>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</si>
  <si>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</si>
  <si>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</si>
  <si>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</si>
  <si>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</si>
  <si>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</si>
  <si>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</si>
  <si>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</si>
  <si>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</si>
  <si>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</si>
  <si>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</si>
  <si>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</si>
  <si>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</si>
  <si>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</si>
  <si>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</si>
  <si>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</si>
  <si>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</si>
  <si>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</si>
  <si>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</si>
  <si>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</si>
  <si>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</si>
  <si>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</si>
  <si>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</si>
  <si>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</si>
  <si>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</si>
  <si>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</si>
  <si>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</si>
  <si>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</si>
  <si>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</si>
  <si>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</si>
  <si>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</si>
  <si>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</si>
  <si>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</si>
  <si>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</si>
  <si>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</si>
  <si>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</si>
  <si>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</si>
  <si>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</si>
  <si>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</si>
  <si>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</si>
  <si>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</si>
  <si>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</si>
  <si>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</si>
  <si>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</si>
  <si>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</si>
  <si>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</si>
  <si>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</si>
  <si>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</si>
  <si>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</si>
  <si>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</si>
  <si>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</si>
  <si>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</si>
  <si>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</si>
  <si>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</si>
  <si>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</si>
  <si>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</si>
  <si>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</si>
  <si>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</si>
  <si>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</si>
  <si>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</si>
  <si>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</si>
  <si>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</si>
  <si>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</si>
  <si>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</si>
  <si>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</si>
  <si>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</si>
  <si>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</si>
  <si>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</si>
  <si>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</si>
  <si>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</si>
  <si>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</si>
  <si>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</si>
  <si>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</si>
  <si>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</si>
  <si>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</si>
  <si>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</si>
  <si>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</si>
  <si>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</si>
  <si>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</si>
  <si>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</si>
  <si>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</si>
  <si>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</si>
  <si>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</si>
  <si>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</si>
  <si>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</si>
  <si>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</si>
  <si>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</si>
  <si>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</si>
  <si>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</si>
  <si>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</si>
  <si>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</si>
  <si>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</si>
  <si>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</si>
  <si>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</si>
  <si>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</si>
  <si>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</si>
  <si>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</si>
  <si>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</si>
  <si>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</si>
  <si>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</si>
  <si>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</si>
  <si>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</si>
  <si>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</si>
  <si>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</si>
  <si>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</si>
  <si>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</si>
  <si>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</si>
  <si>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</si>
  <si>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</si>
  <si>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</si>
  <si>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</si>
  <si>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</si>
  <si>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</si>
  <si>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</si>
  <si>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</si>
  <si>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</si>
  <si>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</si>
  <si>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</si>
  <si>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</si>
  <si>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</si>
  <si>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</si>
  <si>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</si>
  <si>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</si>
  <si>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</si>
  <si>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</si>
  <si>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</si>
  <si>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</si>
  <si>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</si>
  <si>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</si>
  <si>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</si>
  <si>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</si>
  <si>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</si>
  <si>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</si>
  <si>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</si>
  <si>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</si>
  <si>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</si>
  <si>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</si>
  <si>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</si>
  <si>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</si>
  <si>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</si>
  <si>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</si>
  <si>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</si>
  <si>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</si>
  <si>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</si>
  <si>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</si>
  <si>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</si>
  <si>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</si>
  <si>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</si>
  <si>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</si>
  <si>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</si>
  <si>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</si>
  <si>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</si>
  <si>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</si>
  <si>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</si>
  <si>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</si>
  <si>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</si>
  <si>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</si>
  <si>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</si>
  <si>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</si>
  <si>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</si>
  <si>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</si>
  <si>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</si>
  <si>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</si>
  <si>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</si>
  <si>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</si>
  <si>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</si>
  <si>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</si>
  <si>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</si>
  <si>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</si>
  <si>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</si>
  <si>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</si>
  <si>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</si>
  <si>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</si>
  <si>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</si>
  <si>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</si>
  <si>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</si>
  <si>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</si>
  <si>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</si>
  <si>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</si>
  <si>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</si>
  <si>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</si>
  <si>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</si>
  <si>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</si>
  <si>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</si>
  <si>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</si>
  <si>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</si>
  <si>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</si>
  <si>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</si>
  <si>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</si>
  <si>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</si>
  <si>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</si>
  <si>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</si>
  <si>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</si>
  <si>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</si>
  <si>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</si>
  <si>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</si>
  <si>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</si>
  <si>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</si>
  <si>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</si>
  <si>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</si>
  <si>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</si>
  <si>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</si>
  <si>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</si>
  <si>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</si>
  <si>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</si>
  <si>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</si>
  <si>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</si>
  <si>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</si>
  <si>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</si>
  <si>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</si>
  <si>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</si>
  <si>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</si>
  <si>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</si>
  <si>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</si>
  <si>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</si>
  <si>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</si>
  <si>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</si>
  <si>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</si>
  <si>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</si>
  <si>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</si>
  <si>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</si>
  <si>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</si>
  <si>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</si>
  <si>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</si>
  <si>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</si>
  <si>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</si>
  <si>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</si>
  <si>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</si>
  <si>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</si>
  <si>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</si>
  <si>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</si>
  <si>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</si>
  <si>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</si>
  <si>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</si>
  <si>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</si>
  <si>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</si>
  <si>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</si>
  <si>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</si>
  <si>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</si>
  <si>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</si>
  <si>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</si>
  <si>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</si>
  <si>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</si>
  <si>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</si>
  <si>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</si>
  <si>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</si>
  <si>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</si>
  <si>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</si>
  <si>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</si>
  <si>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</si>
  <si>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</si>
  <si>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</si>
  <si>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</si>
  <si>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</si>
  <si>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</si>
  <si>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</si>
  <si>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</si>
  <si>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</si>
  <si>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</si>
  <si>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</si>
  <si>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</si>
  <si>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</si>
  <si>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</si>
  <si>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</si>
  <si>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</si>
  <si>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</si>
  <si>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</si>
  <si>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</si>
  <si>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</si>
  <si>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</si>
  <si>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</si>
  <si>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</si>
  <si>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</si>
  <si>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</si>
  <si>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</si>
  <si>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</si>
  <si>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</si>
  <si>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</si>
  <si>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</si>
  <si>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</si>
  <si>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</si>
  <si>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</si>
  <si>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</si>
  <si>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</si>
  <si>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</si>
  <si>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</si>
  <si>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</si>
  <si>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</si>
  <si>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</si>
  <si>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</si>
  <si>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</si>
  <si>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</si>
  <si>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</si>
  <si>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</si>
  <si>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</si>
  <si>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</si>
  <si>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</si>
  <si>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</si>
  <si>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</si>
  <si>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</si>
  <si>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</si>
  <si>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</si>
  <si>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</si>
  <si>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</si>
  <si>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</si>
  <si>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</si>
  <si>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</si>
  <si>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</si>
  <si>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</si>
  <si>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</si>
  <si>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</si>
  <si>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</si>
  <si>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</si>
  <si>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</si>
  <si>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</si>
  <si>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</si>
  <si>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</si>
  <si>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</si>
  <si>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</si>
  <si>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</si>
  <si>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</si>
  <si>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</si>
  <si>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</si>
  <si>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</si>
  <si>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</si>
  <si>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</si>
  <si>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</si>
  <si>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</si>
  <si>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</si>
  <si>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</si>
  <si>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</si>
  <si>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</si>
  <si>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</si>
  <si>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</si>
  <si>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</si>
  <si>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</si>
  <si>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</si>
  <si>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</si>
  <si>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</si>
  <si>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</si>
  <si>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</si>
  <si>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</si>
  <si>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</si>
  <si>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</si>
  <si>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</si>
  <si>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</si>
  <si>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</si>
  <si>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</si>
  <si>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</si>
  <si>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</si>
  <si>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</si>
  <si>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</si>
  <si>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</si>
  <si>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</si>
  <si>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</si>
  <si>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</si>
  <si>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</si>
  <si>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</si>
  <si>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</si>
  <si>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</si>
  <si>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</si>
  <si>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</si>
  <si>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</si>
  <si>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</si>
  <si>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</si>
  <si>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</si>
  <si>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</si>
  <si>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</si>
  <si>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</si>
  <si>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</si>
  <si>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</si>
  <si>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</si>
  <si>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</si>
  <si>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</si>
  <si>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</si>
  <si>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</si>
  <si>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</si>
  <si>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</si>
  <si>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</si>
  <si>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</si>
  <si>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</si>
  <si>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</si>
  <si>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</si>
  <si>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</si>
  <si>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</si>
  <si>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</si>
  <si>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</si>
  <si>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</si>
  <si>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</si>
  <si>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</si>
  <si>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</si>
  <si>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</si>
  <si>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</si>
  <si>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</si>
  <si>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</si>
  <si>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</si>
  <si>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</si>
  <si>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</si>
  <si>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</si>
  <si>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</si>
  <si>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</si>
  <si>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</si>
  <si>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</si>
  <si>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</si>
  <si>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</si>
  <si>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</si>
  <si>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</si>
  <si>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</si>
  <si>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</si>
  <si>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</si>
  <si>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</si>
  <si>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</si>
  <si>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</si>
  <si>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</si>
  <si>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</si>
  <si>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</si>
  <si>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</si>
  <si>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</si>
  <si>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</si>
  <si>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</si>
  <si>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</si>
  <si>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</si>
  <si>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</si>
  <si>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</si>
  <si>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</si>
  <si>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</si>
  <si>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</si>
  <si>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</si>
  <si>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</si>
  <si>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</si>
  <si>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</si>
  <si>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</si>
  <si>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</si>
  <si>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</si>
  <si>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</si>
  <si>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</si>
  <si>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</si>
  <si>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</si>
  <si>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</si>
  <si>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</si>
  <si>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</si>
  <si>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</si>
  <si>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</si>
  <si>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</si>
  <si>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</si>
  <si>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</si>
  <si>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</si>
  <si>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</si>
  <si>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</si>
  <si>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</si>
  <si>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</si>
  <si>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</si>
  <si>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</si>
  <si>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</si>
  <si>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</si>
  <si>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</si>
  <si>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</si>
  <si>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</si>
  <si>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</si>
  <si>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</si>
  <si>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</si>
  <si>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</si>
  <si>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</si>
  <si>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</si>
  <si>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</si>
  <si>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</si>
  <si>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</si>
  <si>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</si>
  <si>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</si>
  <si>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</si>
  <si>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</si>
  <si>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</si>
  <si>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</si>
  <si>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</si>
  <si>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</si>
  <si>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</si>
  <si>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</si>
  <si>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</si>
  <si>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</si>
  <si>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</si>
  <si>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</si>
  <si>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</si>
  <si>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</si>
  <si>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</si>
  <si>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</si>
  <si>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</si>
  <si>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</si>
  <si>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</si>
  <si>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</si>
  <si>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</si>
  <si>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</si>
  <si>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</si>
  <si>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</si>
  <si>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</si>
  <si>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</si>
  <si>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</si>
  <si>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</si>
  <si>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</si>
  <si>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</si>
  <si>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</si>
  <si>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</si>
  <si>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</si>
  <si>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</si>
  <si>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</si>
  <si>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</si>
  <si>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</si>
  <si>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</si>
  <si>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</si>
  <si>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</si>
  <si>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</si>
  <si>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</si>
  <si>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</si>
  <si>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</si>
  <si>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</si>
  <si>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</si>
  <si>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</si>
  <si>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</si>
  <si>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</si>
  <si>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</si>
  <si>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</si>
  <si>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</si>
  <si>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</si>
  <si>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</si>
  <si>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</si>
  <si>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</si>
  <si>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</si>
  <si>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</si>
  <si>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</si>
  <si>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</si>
  <si>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</si>
  <si>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</si>
  <si>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</si>
  <si>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</si>
  <si>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</si>
  <si>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</si>
  <si>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</si>
  <si>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</si>
  <si>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</si>
  <si>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</si>
  <si>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</si>
  <si>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</si>
  <si>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</si>
  <si>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</si>
  <si>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</si>
  <si>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</si>
  <si>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</si>
  <si>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</si>
  <si>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</si>
  <si>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</si>
  <si>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</si>
  <si>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</si>
  <si>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</si>
  <si>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</si>
  <si>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</si>
  <si>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</si>
  <si>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</si>
  <si>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</si>
  <si>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</si>
  <si>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</si>
  <si>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</si>
  <si>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</si>
  <si>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</si>
  <si>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</si>
  <si>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</si>
  <si>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</si>
  <si>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</si>
  <si>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</si>
  <si>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</si>
  <si>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</si>
  <si>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</si>
  <si>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</si>
  <si>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</si>
  <si>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</si>
  <si>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</si>
  <si>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</si>
  <si>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</si>
  <si>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</si>
  <si>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</si>
  <si>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</si>
  <si>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</si>
  <si>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</si>
  <si>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</si>
  <si>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</si>
  <si>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</si>
  <si>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</si>
  <si>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</si>
  <si>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</si>
  <si>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</si>
  <si>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</si>
  <si>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</si>
  <si>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</si>
  <si>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</si>
  <si>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</si>
  <si>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</si>
  <si>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</si>
  <si>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</si>
  <si>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</si>
  <si>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</si>
  <si>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</si>
  <si>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</si>
  <si>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</si>
  <si>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</si>
  <si>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</si>
  <si>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</si>
  <si>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</si>
  <si>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</si>
  <si>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</si>
  <si>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</si>
  <si>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</si>
  <si>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</si>
  <si>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</si>
  <si>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</si>
  <si>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</si>
  <si>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</si>
  <si>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</si>
  <si>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</si>
  <si>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</si>
  <si>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</si>
  <si>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</si>
  <si>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</si>
  <si>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</si>
  <si>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</si>
  <si>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</si>
  <si>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</si>
  <si>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</si>
  <si>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</si>
  <si>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</si>
  <si>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</si>
  <si>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</si>
  <si>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</si>
  <si>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</si>
  <si>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</si>
  <si>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</si>
  <si>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</si>
  <si>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</si>
  <si>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</si>
  <si>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</si>
  <si>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</si>
  <si>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</si>
  <si>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</si>
  <si>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</si>
  <si>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</si>
  <si>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</si>
  <si>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</si>
  <si>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</si>
  <si>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</si>
  <si>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</si>
  <si>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</si>
  <si>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</si>
  <si>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</si>
  <si>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</si>
  <si>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</si>
  <si>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</si>
  <si>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</si>
  <si>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</si>
  <si>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</si>
  <si>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</si>
  <si>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</si>
  <si>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</si>
  <si>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</si>
  <si>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</si>
  <si>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</si>
  <si>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</si>
  <si>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</si>
  <si>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</si>
  <si>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</si>
  <si>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</si>
  <si>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</si>
  <si>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</si>
  <si>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</si>
  <si>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</si>
  <si>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</si>
  <si>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</si>
  <si>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</si>
  <si>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</si>
  <si>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</si>
  <si>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</si>
  <si>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</si>
  <si>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</si>
  <si>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</si>
  <si>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</si>
  <si>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</si>
  <si>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</si>
  <si>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</si>
  <si>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</si>
  <si>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</si>
  <si>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</si>
  <si>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</si>
  <si>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</si>
  <si>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</si>
  <si>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</si>
  <si>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</si>
  <si>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</si>
  <si>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</si>
  <si>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</si>
  <si>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</si>
  <si>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</si>
  <si>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</si>
  <si>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</si>
  <si>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</si>
  <si>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</si>
  <si>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</si>
  <si>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</si>
  <si>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</si>
  <si>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</si>
  <si>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</si>
  <si>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</si>
  <si>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</si>
  <si>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</si>
  <si>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</si>
  <si>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</si>
  <si>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</si>
  <si>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</si>
  <si>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</si>
  <si>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</si>
  <si>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</si>
  <si>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</si>
  <si>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</si>
  <si>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</si>
  <si>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</si>
  <si>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</si>
  <si>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</si>
  <si>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</si>
  <si>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</si>
  <si>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</si>
  <si>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</si>
  <si>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</si>
  <si>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</si>
  <si>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</si>
  <si>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</si>
  <si>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</si>
  <si>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</si>
  <si>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</si>
  <si>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</si>
  <si>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</si>
  <si>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</si>
  <si>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</si>
  <si>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</si>
  <si>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</si>
  <si>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</si>
  <si>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</si>
  <si>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</si>
  <si>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</si>
  <si>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</si>
  <si>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</si>
  <si>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</si>
  <si>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</si>
  <si>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</si>
  <si>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</si>
  <si>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</si>
  <si>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</si>
  <si>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</si>
  <si>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</si>
  <si>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</si>
  <si>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</si>
  <si>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</si>
  <si>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</si>
  <si>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</si>
  <si>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</si>
  <si>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</si>
  <si>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</si>
  <si>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</si>
  <si>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</si>
  <si>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</si>
  <si>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</si>
  <si>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</si>
  <si>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</si>
  <si>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</si>
  <si>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</si>
  <si>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</si>
  <si>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</si>
  <si>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</si>
  <si>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</si>
  <si>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</si>
  <si>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</si>
  <si>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</si>
  <si>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</si>
  <si>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</si>
  <si>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</si>
  <si>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</si>
  <si>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</si>
  <si>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</si>
  <si>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</si>
  <si>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</si>
  <si>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</si>
  <si>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</si>
  <si>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</si>
  <si>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</si>
  <si>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</si>
  <si>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</si>
  <si>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</si>
  <si>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</si>
  <si>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</si>
  <si>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</si>
  <si>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</si>
  <si>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</si>
  <si>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</si>
  <si>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</si>
  <si>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</si>
  <si>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</si>
  <si>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</si>
  <si>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</si>
  <si>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</si>
  <si>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</si>
  <si>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</si>
  <si>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</si>
  <si>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</si>
  <si>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</si>
  <si>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</si>
  <si>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</si>
  <si>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</si>
  <si>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</si>
  <si>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</si>
  <si>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</si>
  <si>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</si>
  <si>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</si>
  <si>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</si>
  <si>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</si>
  <si>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</si>
  <si>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</si>
  <si>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</si>
  <si>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</si>
  <si>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</si>
  <si>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</si>
  <si>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</si>
  <si>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</si>
  <si>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</si>
  <si>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</si>
  <si>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</si>
  <si>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</si>
  <si>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</si>
  <si>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</si>
  <si>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</si>
  <si>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</si>
  <si>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</si>
  <si>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</si>
  <si>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</si>
  <si>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</si>
  <si>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</si>
  <si>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</si>
  <si>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</si>
  <si>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</si>
  <si>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</si>
  <si>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</si>
  <si>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</si>
  <si>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</si>
  <si>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</si>
  <si>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</si>
  <si>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</si>
  <si>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</si>
  <si>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</si>
  <si>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</si>
  <si>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</si>
  <si>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</si>
  <si>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</si>
  <si>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</si>
  <si>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</si>
  <si>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</si>
  <si>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</si>
  <si>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</si>
  <si>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</si>
  <si>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</si>
  <si>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</si>
  <si>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</si>
  <si>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</si>
  <si>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</si>
  <si>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</si>
  <si>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</si>
  <si>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</si>
  <si>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</si>
  <si>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</si>
  <si>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</si>
  <si>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</si>
  <si>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</si>
  <si>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</si>
  <si>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</si>
  <si>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</si>
  <si>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</si>
  <si>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</si>
  <si>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</si>
  <si>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</si>
  <si>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</si>
  <si>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</si>
  <si>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</si>
  <si>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</si>
  <si>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</si>
  <si>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</si>
  <si>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</si>
  <si>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</si>
  <si>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</si>
  <si>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</si>
  <si>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</si>
  <si>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</si>
  <si>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</si>
  <si>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</si>
  <si>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</si>
  <si>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</si>
  <si>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</si>
  <si>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Hooksett School District</t>
  </si>
  <si>
    <t>05/02</t>
  </si>
  <si>
    <t>07/22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</si>
</sst>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C6" sqref="C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261</v>
      </c>
      <c r="C2" s="21">
        <v>261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2285892.67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88043.199999999997</v>
      </c>
      <c r="G12" s="18">
        <v>6420.52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56948.82</v>
      </c>
      <c r="G13" s="18">
        <v>14477.14</v>
      </c>
      <c r="H13" s="18">
        <v>103198.95</v>
      </c>
      <c r="I13" s="18"/>
      <c r="J13" s="67">
        <f>SUM(I442)</f>
        <v>505925.59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1996.6</v>
      </c>
      <c r="G14" s="18">
        <v>249.55</v>
      </c>
      <c r="H14" s="18">
        <v>3981.63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2432881.29</v>
      </c>
      <c r="G19" s="41">
        <f>SUM(G9:G18)</f>
        <v>21147.21</v>
      </c>
      <c r="H19" s="41">
        <f>SUM(H9:H18)</f>
        <v>107180.58</v>
      </c>
      <c r="I19" s="41">
        <f>SUM(I9:I18)</f>
        <v>0</v>
      </c>
      <c r="J19" s="41">
        <f>SUM(J9:J18)</f>
        <v>505925.59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6420.52</v>
      </c>
      <c r="G22" s="18"/>
      <c r="H22" s="18">
        <v>88043.199999999997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776739.15</v>
      </c>
      <c r="G24" s="18">
        <v>216.15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11214.71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10301.1</v>
      </c>
      <c r="H30" s="18">
        <v>19137.38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794374.38</v>
      </c>
      <c r="G32" s="41">
        <f>SUM(G22:G31)</f>
        <v>10517.25</v>
      </c>
      <c r="H32" s="41">
        <f>SUM(H22:H31)</f>
        <v>107180.58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16000</v>
      </c>
      <c r="G48" s="18">
        <v>10629.96</v>
      </c>
      <c r="H48" s="18"/>
      <c r="I48" s="18"/>
      <c r="J48" s="13">
        <f>SUM(I459)</f>
        <v>505925.59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89312.18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1533194.73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1638506.91</v>
      </c>
      <c r="G51" s="41">
        <f>SUM(G35:G50)</f>
        <v>10629.96</v>
      </c>
      <c r="H51" s="41">
        <f>SUM(H35:H50)</f>
        <v>0</v>
      </c>
      <c r="I51" s="41">
        <f>SUM(I35:I50)</f>
        <v>0</v>
      </c>
      <c r="J51" s="41">
        <f>SUM(J35:J50)</f>
        <v>505925.59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2432881.29</v>
      </c>
      <c r="G52" s="41">
        <f>G51+G32</f>
        <v>21147.21</v>
      </c>
      <c r="H52" s="41">
        <f>H51+H32</f>
        <v>107180.58</v>
      </c>
      <c r="I52" s="41">
        <f>I51+I32</f>
        <v>0</v>
      </c>
      <c r="J52" s="41">
        <f>J51+J32</f>
        <v>505925.59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21936149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91274.36</v>
      </c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22027423.359999999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16904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4610.75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21514.75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27927.31</v>
      </c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27927.31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365.96</v>
      </c>
      <c r="G96" s="18"/>
      <c r="H96" s="18"/>
      <c r="I96" s="18"/>
      <c r="J96" s="18">
        <v>9943.69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400657.91999999998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f>15662+3942.75</f>
        <v>19604.75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4450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22960.02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880.47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43811.199999999997</v>
      </c>
      <c r="G111" s="41">
        <f>SUM(G96:G110)</f>
        <v>400657.91999999998</v>
      </c>
      <c r="H111" s="41">
        <f>SUM(H96:H110)</f>
        <v>4450</v>
      </c>
      <c r="I111" s="41">
        <f>SUM(I96:I110)</f>
        <v>0</v>
      </c>
      <c r="J111" s="41">
        <f>SUM(J96:J110)</f>
        <v>9943.69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22120676.619999997</v>
      </c>
      <c r="G112" s="41">
        <f>G60+G111</f>
        <v>400657.91999999998</v>
      </c>
      <c r="H112" s="41">
        <f>H60+H79+H94+H111</f>
        <v>4450</v>
      </c>
      <c r="I112" s="41">
        <f>I60+I111</f>
        <v>0</v>
      </c>
      <c r="J112" s="41">
        <f>J60+J111</f>
        <v>9943.69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3914997.29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3984376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228562.88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8127936.1699999999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330172.46000000002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230849.3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8104.71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561021.76</v>
      </c>
      <c r="G136" s="41">
        <f>SUM(G123:G135)</f>
        <v>8104.71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>
        <v>2365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8688957.9299999997</v>
      </c>
      <c r="G140" s="41">
        <f>G121+SUM(G136:G137)</f>
        <v>8104.71</v>
      </c>
      <c r="H140" s="41">
        <f>H121+SUM(H136:H139)</f>
        <v>2365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131348.57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29910.42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206066.53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277300.67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206792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15617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206792</v>
      </c>
      <c r="G162" s="41">
        <f>SUM(G150:G161)</f>
        <v>206066.53</v>
      </c>
      <c r="H162" s="41">
        <f>SUM(H150:H161)</f>
        <v>454176.66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>
        <v>1316.86</v>
      </c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206792</v>
      </c>
      <c r="G169" s="41">
        <f>G147+G162+SUM(G163:G168)</f>
        <v>206066.53</v>
      </c>
      <c r="H169" s="41">
        <f>H147+H162+SUM(H163:H168)</f>
        <v>455493.51999999996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135500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135500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135500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31016426.549999997</v>
      </c>
      <c r="G193" s="47">
        <f>G112+G140+G169+G192</f>
        <v>614829.16</v>
      </c>
      <c r="H193" s="47">
        <f>H112+H140+H169+H192</f>
        <v>462308.51999999996</v>
      </c>
      <c r="I193" s="47">
        <f>I112+I140+I169+I192</f>
        <v>0</v>
      </c>
      <c r="J193" s="47">
        <f>J112+J140+J192</f>
        <v>145443.69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1455205.32+1438207.73+56425.84</f>
        <v>2949838.8899999997</v>
      </c>
      <c r="G197" s="18">
        <f>1616202.59+65084.88-809.49</f>
        <v>1680477.98</v>
      </c>
      <c r="H197" s="18">
        <f>2284.85+38328.12</f>
        <v>40612.97</v>
      </c>
      <c r="I197" s="18">
        <f>96807.91+2102.46</f>
        <v>98910.37000000001</v>
      </c>
      <c r="J197" s="18">
        <f>1996.26+661.44</f>
        <v>2657.7</v>
      </c>
      <c r="K197" s="18"/>
      <c r="L197" s="19">
        <f>SUM(F197:K197)</f>
        <v>4772497.9099999992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530852.37+30435.29+97553+83050.78+53446.1</f>
        <v>795337.54</v>
      </c>
      <c r="G198" s="18">
        <f>352395.2+5253.11+52522.95+8025.42+44974.72+12670.24</f>
        <v>475841.64</v>
      </c>
      <c r="H198" s="18">
        <f>118233.34+134891.45+3389.24+2936.02+44200.08</f>
        <v>303650.13</v>
      </c>
      <c r="I198" s="18">
        <f>806.38+514.22+779.42</f>
        <v>2100.02</v>
      </c>
      <c r="J198" s="18">
        <f>1832.1</f>
        <v>1832.1</v>
      </c>
      <c r="K198" s="18">
        <f>1075+1292.5</f>
        <v>2367.5</v>
      </c>
      <c r="L198" s="19">
        <f>SUM(F198:K198)</f>
        <v>1581128.9300000002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2250+4250+600</f>
        <v>7100</v>
      </c>
      <c r="G200" s="18">
        <f>1218.05+130.92</f>
        <v>1348.97</v>
      </c>
      <c r="H200" s="18"/>
      <c r="I200" s="18">
        <f>407.77</f>
        <v>407.77</v>
      </c>
      <c r="J200" s="18"/>
      <c r="K200" s="18"/>
      <c r="L200" s="19">
        <f>SUM(F200:K200)</f>
        <v>8856.74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123600.13+103301.27+341702+56668.93</f>
        <v>625272.33000000007</v>
      </c>
      <c r="G202" s="18">
        <f>47488.19+49596.37+175717.59+499.55+27065.37</f>
        <v>300367.07</v>
      </c>
      <c r="H202" s="18">
        <f>13827.13+57526.05+276+165+1154.46+87415.1+95357.25+51994.33</f>
        <v>307715.32</v>
      </c>
      <c r="I202" s="18">
        <f>221.22+3886.03+4498.06+968.17+974.07</f>
        <v>10547.550000000001</v>
      </c>
      <c r="J202" s="18">
        <f>103+7360.13</f>
        <v>7463.13</v>
      </c>
      <c r="K202" s="18">
        <f>2979.07</f>
        <v>2979.07</v>
      </c>
      <c r="L202" s="19">
        <f t="shared" ref="L202:L208" si="0">SUM(F202:K202)</f>
        <v>1254344.4700000002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159616.19+50608.6</f>
        <v>210224.79</v>
      </c>
      <c r="G203" s="18">
        <f>8631.51+87481.93+34647.55</f>
        <v>130760.98999999999</v>
      </c>
      <c r="H203" s="18">
        <f>4022.5+8000</f>
        <v>12022.5</v>
      </c>
      <c r="I203" s="18">
        <f>23959.84+957.89</f>
        <v>24917.73</v>
      </c>
      <c r="J203" s="18">
        <f>20083.08</f>
        <v>20083.080000000002</v>
      </c>
      <c r="K203" s="18">
        <f>490</f>
        <v>490</v>
      </c>
      <c r="L203" s="19">
        <f t="shared" si="0"/>
        <v>398499.09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10752</f>
        <v>10752</v>
      </c>
      <c r="G204" s="18">
        <f>857.31</f>
        <v>857.31</v>
      </c>
      <c r="H204" s="18">
        <f>57805.25+431738.24</f>
        <v>489543.49</v>
      </c>
      <c r="I204" s="18">
        <f>2217.91</f>
        <v>2217.91</v>
      </c>
      <c r="J204" s="18"/>
      <c r="K204" s="18">
        <f>3629.34</f>
        <v>3629.34</v>
      </c>
      <c r="L204" s="19">
        <f t="shared" si="0"/>
        <v>507000.05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469859.68</f>
        <v>469859.68</v>
      </c>
      <c r="G205" s="18">
        <f>293621.45</f>
        <v>293621.45</v>
      </c>
      <c r="H205" s="18">
        <f>8063.96+17979.99+85.91</f>
        <v>26129.86</v>
      </c>
      <c r="I205" s="18">
        <f>3504.57</f>
        <v>3504.57</v>
      </c>
      <c r="J205" s="18">
        <f>2169.75</f>
        <v>2169.75</v>
      </c>
      <c r="K205" s="18">
        <f>2800</f>
        <v>2800</v>
      </c>
      <c r="L205" s="19">
        <f t="shared" si="0"/>
        <v>798085.30999999994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248467.89+44118.89</f>
        <v>292586.78000000003</v>
      </c>
      <c r="G207" s="18">
        <f>182062.15+27677.59</f>
        <v>209739.74</v>
      </c>
      <c r="H207" s="18">
        <f>227128.89+17535.21+7030.21+42881.92</f>
        <v>294576.23</v>
      </c>
      <c r="I207" s="18">
        <f>246328.4+353.56</f>
        <v>246681.96</v>
      </c>
      <c r="J207" s="18">
        <f>3063.36</f>
        <v>3063.36</v>
      </c>
      <c r="K207" s="18"/>
      <c r="L207" s="19">
        <f t="shared" si="0"/>
        <v>1046648.07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6340.8+465759.6+281722.37</f>
        <v>753822.77</v>
      </c>
      <c r="I208" s="18"/>
      <c r="J208" s="18"/>
      <c r="K208" s="18"/>
      <c r="L208" s="19">
        <f t="shared" si="0"/>
        <v>753822.77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f>49823.76+50048</f>
        <v>99871.760000000009</v>
      </c>
      <c r="G209" s="18">
        <f>8052.73+17696.18</f>
        <v>25748.91</v>
      </c>
      <c r="H209" s="18">
        <f>3996.79+1520.48</f>
        <v>5517.27</v>
      </c>
      <c r="I209" s="18">
        <f>2096.83+19251.64</f>
        <v>21348.47</v>
      </c>
      <c r="J209" s="18">
        <f>85586.84</f>
        <v>85586.84</v>
      </c>
      <c r="K209" s="18"/>
      <c r="L209" s="19">
        <f>SUM(F209:K209)</f>
        <v>238073.25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5460843.7699999996</v>
      </c>
      <c r="G211" s="41">
        <f t="shared" si="1"/>
        <v>3118764.0600000005</v>
      </c>
      <c r="H211" s="41">
        <f t="shared" si="1"/>
        <v>2233590.54</v>
      </c>
      <c r="I211" s="41">
        <f t="shared" si="1"/>
        <v>410636.35</v>
      </c>
      <c r="J211" s="41">
        <f t="shared" si="1"/>
        <v>122855.95999999999</v>
      </c>
      <c r="K211" s="41">
        <f t="shared" si="1"/>
        <v>12265.91</v>
      </c>
      <c r="L211" s="41">
        <f t="shared" si="1"/>
        <v>11358956.590000002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2087362.65+31739.53</f>
        <v>2119102.1799999997</v>
      </c>
      <c r="G215" s="18">
        <f>477484.38+576882.49+36610.24</f>
        <v>1090977.1100000001</v>
      </c>
      <c r="H215" s="18">
        <f>24710.01</f>
        <v>24710.01</v>
      </c>
      <c r="I215" s="18">
        <f>36996.09+1182.64</f>
        <v>38178.729999999996</v>
      </c>
      <c r="J215" s="18">
        <f>4419.98</f>
        <v>4419.9799999999996</v>
      </c>
      <c r="K215" s="18"/>
      <c r="L215" s="19">
        <f>SUM(F215:K215)</f>
        <v>3277388.01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422470.3+13628.79+19748.23+37914.49+24012.02</f>
        <v>517773.82999999996</v>
      </c>
      <c r="G216" s="18">
        <f>76415.69+1974.97+148294.28+20926.26+20531.94+5692.42</f>
        <v>273835.56</v>
      </c>
      <c r="H216" s="18">
        <f>14.15+7651.76+159750.3+60603.41+1522.7+1319.08+19858</f>
        <v>250719.4</v>
      </c>
      <c r="I216" s="18">
        <f>823.52+216.54+350.17</f>
        <v>1390.23</v>
      </c>
      <c r="J216" s="18">
        <f>823.12</f>
        <v>823.12</v>
      </c>
      <c r="K216" s="18"/>
      <c r="L216" s="19">
        <f>SUM(F216:K216)</f>
        <v>1044542.1399999999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27503+28732+8575</f>
        <v>64810</v>
      </c>
      <c r="G218" s="18">
        <f>6342.81+5215.4+1729.45</f>
        <v>13287.66</v>
      </c>
      <c r="H218" s="18">
        <f>390.95+9048.85+985</f>
        <v>10424.800000000001</v>
      </c>
      <c r="I218" s="18">
        <f>3474.74+2230.61+1576.65</f>
        <v>7282</v>
      </c>
      <c r="J218" s="18">
        <f>288.42+10791.13</f>
        <v>11079.55</v>
      </c>
      <c r="K218" s="18">
        <f>1305+540</f>
        <v>1845</v>
      </c>
      <c r="L218" s="19">
        <f>SUM(F218:K218)</f>
        <v>108729.01000000001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124725.69+50737+77033+25459.95</f>
        <v>277955.64</v>
      </c>
      <c r="G220" s="18">
        <f>29263.64+11658.19+18060.97+71094.58+224.44+12159.81</f>
        <v>142461.63</v>
      </c>
      <c r="H220" s="18">
        <f>6187.5+200+138+1356.43+5843.24+635+39273.45+42841.67+23359.77</f>
        <v>119835.06</v>
      </c>
      <c r="I220" s="18">
        <f>1454.11+67.95+1324.29+437.62</f>
        <v>3283.97</v>
      </c>
      <c r="J220" s="18">
        <f>196.85</f>
        <v>196.85</v>
      </c>
      <c r="K220" s="18">
        <f>1675.73</f>
        <v>1675.73</v>
      </c>
      <c r="L220" s="19">
        <f t="shared" ref="L220:L226" si="2">SUM(F220:K220)</f>
        <v>545408.88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21901.5+28467.33</f>
        <v>50368.83</v>
      </c>
      <c r="G221" s="18">
        <f>1250+16221.21+41.4+19489.24</f>
        <v>37001.850000000006</v>
      </c>
      <c r="H221" s="18">
        <f>2011.26+4500</f>
        <v>6511.26</v>
      </c>
      <c r="I221" s="18">
        <f>13114.26+538.81</f>
        <v>13653.07</v>
      </c>
      <c r="J221" s="18">
        <f>5000.86</f>
        <v>5000.8599999999997</v>
      </c>
      <c r="K221" s="18">
        <f>315</f>
        <v>315</v>
      </c>
      <c r="L221" s="19">
        <f t="shared" si="2"/>
        <v>112850.87000000001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6048</f>
        <v>6048</v>
      </c>
      <c r="G222" s="18">
        <f>482.23</f>
        <v>482.23</v>
      </c>
      <c r="H222" s="18">
        <f>32515.46+242852.76</f>
        <v>275368.22000000003</v>
      </c>
      <c r="I222" s="18">
        <f>1247.58</f>
        <v>1247.58</v>
      </c>
      <c r="J222" s="18"/>
      <c r="K222" s="18">
        <f>2041.5</f>
        <v>2041.5</v>
      </c>
      <c r="L222" s="19">
        <f t="shared" si="2"/>
        <v>285187.53000000003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228276</f>
        <v>228276</v>
      </c>
      <c r="G223" s="18">
        <f>52661.43+87555.46</f>
        <v>140216.89000000001</v>
      </c>
      <c r="H223" s="18">
        <f>8486.94+13901.98+48.33</f>
        <v>22437.25</v>
      </c>
      <c r="I223" s="18">
        <f>3355.31</f>
        <v>3355.31</v>
      </c>
      <c r="J223" s="18">
        <f>2691.99</f>
        <v>2691.99</v>
      </c>
      <c r="K223" s="18">
        <f>2163</f>
        <v>2163</v>
      </c>
      <c r="L223" s="19">
        <f t="shared" si="2"/>
        <v>399140.44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147125.04+24816.88</f>
        <v>171941.92</v>
      </c>
      <c r="G225" s="18">
        <f>29539.67+88265.41+15568.65</f>
        <v>133373.73000000001</v>
      </c>
      <c r="H225" s="18">
        <f>221981.63+22377.86+9863.56+3954.49+24121.08</f>
        <v>282298.62</v>
      </c>
      <c r="I225" s="18">
        <f>195655.56+581.85+198.87</f>
        <v>196436.28</v>
      </c>
      <c r="J225" s="18">
        <f>69827.48+969</f>
        <v>70796.479999999996</v>
      </c>
      <c r="K225" s="18"/>
      <c r="L225" s="19">
        <f t="shared" si="2"/>
        <v>854847.03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21050.72+261989.78+129122.75</f>
        <v>412163.25</v>
      </c>
      <c r="I226" s="18"/>
      <c r="J226" s="18"/>
      <c r="K226" s="18"/>
      <c r="L226" s="19">
        <f t="shared" si="2"/>
        <v>412163.25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f>28152</f>
        <v>28152</v>
      </c>
      <c r="G227" s="18">
        <f>9954.1</f>
        <v>9954.1</v>
      </c>
      <c r="H227" s="18">
        <f>2248.19+855.27</f>
        <v>3103.46</v>
      </c>
      <c r="I227" s="18">
        <f>4287.45+10829.04</f>
        <v>15116.490000000002</v>
      </c>
      <c r="J227" s="18">
        <f>48142.59</f>
        <v>48142.59</v>
      </c>
      <c r="K227" s="18"/>
      <c r="L227" s="19">
        <f>SUM(F227:K227)</f>
        <v>104468.64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3464428.4</v>
      </c>
      <c r="G229" s="41">
        <f>SUM(G215:G228)</f>
        <v>1841590.7600000002</v>
      </c>
      <c r="H229" s="41">
        <f>SUM(H215:H228)</f>
        <v>1407571.33</v>
      </c>
      <c r="I229" s="41">
        <f>SUM(I215:I228)</f>
        <v>279943.65999999997</v>
      </c>
      <c r="J229" s="41">
        <f>SUM(J215:J228)</f>
        <v>143151.41999999998</v>
      </c>
      <c r="K229" s="41">
        <f t="shared" si="3"/>
        <v>8040.23</v>
      </c>
      <c r="L229" s="41">
        <f t="shared" si="3"/>
        <v>7144725.7999999998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f>6377811.55</f>
        <v>6377811.5499999998</v>
      </c>
      <c r="I233" s="18"/>
      <c r="J233" s="18"/>
      <c r="K233" s="18"/>
      <c r="L233" s="19">
        <f>SUM(F233:K233)</f>
        <v>6377811.5499999998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110316.96+59579.91</f>
        <v>169896.87</v>
      </c>
      <c r="G234" s="18">
        <f>150167.93+32264.47</f>
        <v>182432.4</v>
      </c>
      <c r="H234" s="18">
        <f>226472.74+3054729.69</f>
        <v>3281202.4299999997</v>
      </c>
      <c r="I234" s="18"/>
      <c r="J234" s="18"/>
      <c r="K234" s="18"/>
      <c r="L234" s="19">
        <f>SUM(F234:K234)</f>
        <v>3633531.6999999997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242583.13+176076.48</f>
        <v>418659.61</v>
      </c>
      <c r="I244" s="18"/>
      <c r="J244" s="18"/>
      <c r="K244" s="18"/>
      <c r="L244" s="19">
        <f t="shared" si="4"/>
        <v>418659.61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169896.87</v>
      </c>
      <c r="G247" s="41">
        <f t="shared" si="5"/>
        <v>182432.4</v>
      </c>
      <c r="H247" s="41">
        <f t="shared" si="5"/>
        <v>10077673.59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10430002.859999999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13164</v>
      </c>
      <c r="I255" s="18"/>
      <c r="J255" s="18"/>
      <c r="K255" s="18"/>
      <c r="L255" s="19">
        <f t="shared" si="6"/>
        <v>13164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13164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13164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9095169.0399999991</v>
      </c>
      <c r="G257" s="41">
        <f t="shared" si="8"/>
        <v>5142787.2200000007</v>
      </c>
      <c r="H257" s="41">
        <f t="shared" si="8"/>
        <v>13731999.460000001</v>
      </c>
      <c r="I257" s="41">
        <f t="shared" si="8"/>
        <v>690580.01</v>
      </c>
      <c r="J257" s="41">
        <f t="shared" si="8"/>
        <v>266007.38</v>
      </c>
      <c r="K257" s="41">
        <f t="shared" si="8"/>
        <v>20306.14</v>
      </c>
      <c r="L257" s="41">
        <f t="shared" si="8"/>
        <v>28946849.25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1035000</v>
      </c>
      <c r="L260" s="19">
        <f>SUM(F260:K260)</f>
        <v>1035000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335375</v>
      </c>
      <c r="L261" s="19">
        <f>SUM(F261:K261)</f>
        <v>335375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135500</v>
      </c>
      <c r="L266" s="19">
        <f t="shared" si="9"/>
        <v>135500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45892.32</v>
      </c>
      <c r="L268" s="19">
        <f t="shared" si="9"/>
        <v>45892.32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1551767.32</v>
      </c>
      <c r="L270" s="41">
        <f t="shared" si="9"/>
        <v>1551767.32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9095169.0399999991</v>
      </c>
      <c r="G271" s="42">
        <f t="shared" si="11"/>
        <v>5142787.2200000007</v>
      </c>
      <c r="H271" s="42">
        <f t="shared" si="11"/>
        <v>13731999.460000001</v>
      </c>
      <c r="I271" s="42">
        <f t="shared" si="11"/>
        <v>690580.01</v>
      </c>
      <c r="J271" s="42">
        <f t="shared" si="11"/>
        <v>266007.38</v>
      </c>
      <c r="K271" s="42">
        <f t="shared" si="11"/>
        <v>1572073.46</v>
      </c>
      <c r="L271" s="42">
        <f t="shared" si="11"/>
        <v>30498616.57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70868+9487.5</f>
        <v>80355.5</v>
      </c>
      <c r="G276" s="18">
        <f>11325.31+852.26+1016.59</f>
        <v>13194.16</v>
      </c>
      <c r="H276" s="18"/>
      <c r="I276" s="18">
        <f>5533.45+535.42+14033.37</f>
        <v>20102.240000000002</v>
      </c>
      <c r="J276" s="18">
        <f>2863.65</f>
        <v>2863.65</v>
      </c>
      <c r="K276" s="18"/>
      <c r="L276" s="19">
        <f>SUM(F276:K276)</f>
        <v>116515.55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80446.11</f>
        <v>80446.11</v>
      </c>
      <c r="G277" s="18">
        <f>13823.31</f>
        <v>13823.31</v>
      </c>
      <c r="H277" s="18">
        <f>54858.87+6661.23</f>
        <v>61520.100000000006</v>
      </c>
      <c r="I277" s="18">
        <f>4843.01+4525.11+518</f>
        <v>9886.119999999999</v>
      </c>
      <c r="J277" s="18">
        <f>7601.39</f>
        <v>7601.39</v>
      </c>
      <c r="K277" s="18"/>
      <c r="L277" s="19">
        <f>SUM(F277:K277)</f>
        <v>173277.03000000003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>
        <f>4815</f>
        <v>4815</v>
      </c>
      <c r="I279" s="18"/>
      <c r="J279" s="18"/>
      <c r="K279" s="18"/>
      <c r="L279" s="19">
        <f>SUM(F279:K279)</f>
        <v>4815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f>20700</f>
        <v>20700</v>
      </c>
      <c r="I281" s="18"/>
      <c r="J281" s="18"/>
      <c r="K281" s="18"/>
      <c r="L281" s="19">
        <f t="shared" ref="L281:L287" si="12">SUM(F281:K281)</f>
        <v>20700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1319.68</f>
        <v>1319.68</v>
      </c>
      <c r="G282" s="18">
        <f>300.25</f>
        <v>300.25</v>
      </c>
      <c r="H282" s="18">
        <f>17266.22+2400+541</f>
        <v>20207.22</v>
      </c>
      <c r="I282" s="18">
        <f>1344.17+768</f>
        <v>2112.17</v>
      </c>
      <c r="J282" s="18"/>
      <c r="K282" s="18"/>
      <c r="L282" s="19">
        <f t="shared" si="12"/>
        <v>23939.32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f>2333.02+4120.48</f>
        <v>6453.5</v>
      </c>
      <c r="L285" s="19">
        <f t="shared" si="12"/>
        <v>6453.5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>
        <f>9994.88</f>
        <v>9994.8799999999992</v>
      </c>
      <c r="I286" s="18"/>
      <c r="J286" s="18"/>
      <c r="K286" s="18"/>
      <c r="L286" s="19">
        <f t="shared" si="12"/>
        <v>9994.8799999999992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>
        <f>573.2</f>
        <v>573.20000000000005</v>
      </c>
      <c r="I288" s="18"/>
      <c r="J288" s="18">
        <f>269.59</f>
        <v>269.58999999999997</v>
      </c>
      <c r="K288" s="18"/>
      <c r="L288" s="19">
        <f>SUM(F288:K288)</f>
        <v>842.79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162121.28999999998</v>
      </c>
      <c r="G290" s="42">
        <f t="shared" si="13"/>
        <v>27317.72</v>
      </c>
      <c r="H290" s="42">
        <f t="shared" si="13"/>
        <v>117810.40000000001</v>
      </c>
      <c r="I290" s="42">
        <f t="shared" si="13"/>
        <v>32100.53</v>
      </c>
      <c r="J290" s="42">
        <f t="shared" si="13"/>
        <v>10734.630000000001</v>
      </c>
      <c r="K290" s="42">
        <f t="shared" si="13"/>
        <v>6453.5</v>
      </c>
      <c r="L290" s="41">
        <f t="shared" si="13"/>
        <v>356538.07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36142.46</f>
        <v>36142.46</v>
      </c>
      <c r="G296" s="18">
        <f>6210.47</f>
        <v>6210.47</v>
      </c>
      <c r="H296" s="18">
        <f>24646.74</f>
        <v>24646.74</v>
      </c>
      <c r="I296" s="18">
        <f>2175.84</f>
        <v>2175.84</v>
      </c>
      <c r="J296" s="18">
        <f>3415.11</f>
        <v>3415.11</v>
      </c>
      <c r="K296" s="18"/>
      <c r="L296" s="19">
        <f>SUM(F296:K296)</f>
        <v>72590.62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2000</v>
      </c>
      <c r="G298" s="18"/>
      <c r="H298" s="18"/>
      <c r="I298" s="18"/>
      <c r="J298" s="18"/>
      <c r="K298" s="18"/>
      <c r="L298" s="19">
        <f>SUM(F298:K298)</f>
        <v>2000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f>9300</f>
        <v>9300</v>
      </c>
      <c r="I300" s="18"/>
      <c r="J300" s="18"/>
      <c r="K300" s="18"/>
      <c r="L300" s="19">
        <f t="shared" ref="L300:L306" si="14">SUM(F300:K300)</f>
        <v>9300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742.32</f>
        <v>742.32</v>
      </c>
      <c r="G301" s="18">
        <f>168.89</f>
        <v>168.89</v>
      </c>
      <c r="H301" s="18">
        <f>9712.25+1350+304.31</f>
        <v>11366.56</v>
      </c>
      <c r="I301" s="18">
        <f>756.1+432</f>
        <v>1188.0999999999999</v>
      </c>
      <c r="J301" s="18"/>
      <c r="K301" s="18"/>
      <c r="L301" s="19">
        <f t="shared" si="14"/>
        <v>13465.87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>
        <f>2317.77</f>
        <v>2317.77</v>
      </c>
      <c r="L304" s="19">
        <f t="shared" si="14"/>
        <v>2317.77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>
        <f>5622.12</f>
        <v>5622.12</v>
      </c>
      <c r="I305" s="18"/>
      <c r="J305" s="18"/>
      <c r="K305" s="18"/>
      <c r="L305" s="19">
        <f t="shared" si="14"/>
        <v>5622.12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>
        <f>322.42</f>
        <v>322.42</v>
      </c>
      <c r="I307" s="18"/>
      <c r="J307" s="18">
        <f>151.65</f>
        <v>151.65</v>
      </c>
      <c r="K307" s="18"/>
      <c r="L307" s="19">
        <f>SUM(F307:K307)</f>
        <v>474.07000000000005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38884.78</v>
      </c>
      <c r="G309" s="42">
        <f t="shared" si="15"/>
        <v>6379.3600000000006</v>
      </c>
      <c r="H309" s="42">
        <f t="shared" si="15"/>
        <v>51257.840000000004</v>
      </c>
      <c r="I309" s="42">
        <f t="shared" si="15"/>
        <v>3363.94</v>
      </c>
      <c r="J309" s="42">
        <f t="shared" si="15"/>
        <v>3566.76</v>
      </c>
      <c r="K309" s="42">
        <f t="shared" si="15"/>
        <v>2317.77</v>
      </c>
      <c r="L309" s="41">
        <f t="shared" si="15"/>
        <v>105770.45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201006.06999999998</v>
      </c>
      <c r="G338" s="41">
        <f t="shared" si="20"/>
        <v>33697.08</v>
      </c>
      <c r="H338" s="41">
        <f t="shared" si="20"/>
        <v>169068.24000000002</v>
      </c>
      <c r="I338" s="41">
        <f t="shared" si="20"/>
        <v>35464.47</v>
      </c>
      <c r="J338" s="41">
        <f t="shared" si="20"/>
        <v>14301.390000000001</v>
      </c>
      <c r="K338" s="41">
        <f t="shared" si="20"/>
        <v>8771.27</v>
      </c>
      <c r="L338" s="41">
        <f t="shared" si="20"/>
        <v>462308.52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201006.06999999998</v>
      </c>
      <c r="G352" s="41">
        <f>G338</f>
        <v>33697.08</v>
      </c>
      <c r="H352" s="41">
        <f>H338</f>
        <v>169068.24000000002</v>
      </c>
      <c r="I352" s="41">
        <f>I338</f>
        <v>35464.47</v>
      </c>
      <c r="J352" s="41">
        <f>J338</f>
        <v>14301.390000000001</v>
      </c>
      <c r="K352" s="47">
        <f>K338+K351</f>
        <v>8771.27</v>
      </c>
      <c r="L352" s="41">
        <f>L338+L351</f>
        <v>462308.52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520+996+56558.05+59231.07+29963.52</f>
        <v>147268.63999999998</v>
      </c>
      <c r="G358" s="18">
        <f>2580.62+46898.71+134.55+4055.31+4477.89+107.39+1345.58+4317.52+2561.47+179+1663.69+997.8+74.83+2059.72+16273.24+26.5+3346.97+22.91+103.4+198.4</f>
        <v>91425.500000000015</v>
      </c>
      <c r="H358" s="18">
        <f>3072.53+500</f>
        <v>3572.53</v>
      </c>
      <c r="I358" s="18">
        <f>130404.74+975.68+12025.03+25558.41</f>
        <v>168963.86000000002</v>
      </c>
      <c r="J358" s="18">
        <f>989.47</f>
        <v>989.47</v>
      </c>
      <c r="K358" s="18">
        <f>288</f>
        <v>288</v>
      </c>
      <c r="L358" s="13">
        <f>SUM(F358:K358)</f>
        <v>412508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64016.76+552+16854.48</f>
        <v>81423.240000000005</v>
      </c>
      <c r="G359" s="18">
        <f>41.4+214.8+1835.4+4939.47+2198.67+561.27+42.09+1158.59+9153.7+14.9+1882.67+12.89+58.16+111.6</f>
        <v>22225.609999999997</v>
      </c>
      <c r="H359" s="18">
        <f>1738.18</f>
        <v>1738.18</v>
      </c>
      <c r="I359" s="18">
        <f>73352.67+548.82+6764.08+14376.61</f>
        <v>95042.180000000008</v>
      </c>
      <c r="J359" s="18">
        <f>324+556.57</f>
        <v>880.57</v>
      </c>
      <c r="K359" s="18">
        <f>162</f>
        <v>162</v>
      </c>
      <c r="L359" s="19">
        <f>SUM(F359:K359)</f>
        <v>201471.78000000003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228691.88</v>
      </c>
      <c r="G362" s="47">
        <f t="shared" si="22"/>
        <v>113651.11000000002</v>
      </c>
      <c r="H362" s="47">
        <f t="shared" si="22"/>
        <v>5310.71</v>
      </c>
      <c r="I362" s="47">
        <f t="shared" si="22"/>
        <v>264006.04000000004</v>
      </c>
      <c r="J362" s="47">
        <f t="shared" si="22"/>
        <v>1870.04</v>
      </c>
      <c r="K362" s="47">
        <f t="shared" si="22"/>
        <v>450</v>
      </c>
      <c r="L362" s="47">
        <f t="shared" si="22"/>
        <v>613979.78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130404.74</f>
        <v>130404.74</v>
      </c>
      <c r="G367" s="18">
        <f>73352.67</f>
        <v>73352.67</v>
      </c>
      <c r="H367" s="18"/>
      <c r="I367" s="56">
        <f>SUM(F367:H367)</f>
        <v>203757.41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975.68+12025.03+25558.41</f>
        <v>38559.120000000003</v>
      </c>
      <c r="G368" s="63">
        <f>548.82+6764.08+14376.61</f>
        <v>21689.510000000002</v>
      </c>
      <c r="H368" s="63"/>
      <c r="I368" s="56">
        <f>SUM(F368:H368)</f>
        <v>60248.630000000005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168963.86000000002</v>
      </c>
      <c r="G369" s="47">
        <f>SUM(G367:G368)</f>
        <v>95042.18</v>
      </c>
      <c r="H369" s="47">
        <f>SUM(H367:H368)</f>
        <v>0</v>
      </c>
      <c r="I369" s="47">
        <f>SUM(I367:I368)</f>
        <v>264006.04000000004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>
        <v>95500</v>
      </c>
      <c r="H388" s="18">
        <v>4290.21</v>
      </c>
      <c r="I388" s="18"/>
      <c r="J388" s="24" t="s">
        <v>288</v>
      </c>
      <c r="K388" s="24" t="s">
        <v>288</v>
      </c>
      <c r="L388" s="56">
        <f t="shared" si="25"/>
        <v>99790.21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95500</v>
      </c>
      <c r="H393" s="139">
        <f>SUM(H387:H392)</f>
        <v>4290.21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99790.21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40000</v>
      </c>
      <c r="H397" s="18">
        <v>5624.18</v>
      </c>
      <c r="I397" s="18"/>
      <c r="J397" s="24" t="s">
        <v>288</v>
      </c>
      <c r="K397" s="24" t="s">
        <v>288</v>
      </c>
      <c r="L397" s="56">
        <f t="shared" si="26"/>
        <v>45624.18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29.3</v>
      </c>
      <c r="I399" s="18"/>
      <c r="J399" s="24" t="s">
        <v>288</v>
      </c>
      <c r="K399" s="24" t="s">
        <v>288</v>
      </c>
      <c r="L399" s="56">
        <f t="shared" si="26"/>
        <v>29.3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40000</v>
      </c>
      <c r="H401" s="47">
        <f>SUM(H395:H400)</f>
        <v>5653.4800000000005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45653.48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135500</v>
      </c>
      <c r="H408" s="47">
        <f>H393+H401+H407</f>
        <v>9943.69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145443.69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236693.07</v>
      </c>
      <c r="G442" s="18">
        <v>269232.52</v>
      </c>
      <c r="H442" s="18"/>
      <c r="I442" s="56">
        <f t="shared" si="33"/>
        <v>505925.59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236693.07</v>
      </c>
      <c r="G446" s="13">
        <f>SUM(G439:G445)</f>
        <v>269232.52</v>
      </c>
      <c r="H446" s="13">
        <f>SUM(H439:H445)</f>
        <v>0</v>
      </c>
      <c r="I446" s="13">
        <f>SUM(I439:I445)</f>
        <v>505925.59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236693.07</v>
      </c>
      <c r="G459" s="18">
        <v>269232.52</v>
      </c>
      <c r="H459" s="18"/>
      <c r="I459" s="56">
        <f t="shared" si="34"/>
        <v>505925.59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236693.07</v>
      </c>
      <c r="G460" s="83">
        <f>SUM(G454:G459)</f>
        <v>269232.52</v>
      </c>
      <c r="H460" s="83">
        <f>SUM(H454:H459)</f>
        <v>0</v>
      </c>
      <c r="I460" s="83">
        <f>SUM(I454:I459)</f>
        <v>505925.59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236693.07</v>
      </c>
      <c r="G461" s="42">
        <f>G452+G460</f>
        <v>269232.52</v>
      </c>
      <c r="H461" s="42">
        <f>H452+H460</f>
        <v>0</v>
      </c>
      <c r="I461" s="42">
        <f>I452+I460</f>
        <v>505925.59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1120696.93</v>
      </c>
      <c r="G465" s="18">
        <v>9780.58</v>
      </c>
      <c r="H465" s="18"/>
      <c r="I465" s="18"/>
      <c r="J465" s="18">
        <v>360481.9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31016426.550000001</v>
      </c>
      <c r="G468" s="18">
        <v>614829.16</v>
      </c>
      <c r="H468" s="18">
        <v>462308.52</v>
      </c>
      <c r="I468" s="18"/>
      <c r="J468" s="18">
        <v>145443.69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31016426.550000001</v>
      </c>
      <c r="G470" s="53">
        <f>SUM(G468:G469)</f>
        <v>614829.16</v>
      </c>
      <c r="H470" s="53">
        <f>SUM(H468:H469)</f>
        <v>462308.52</v>
      </c>
      <c r="I470" s="53">
        <f>SUM(I468:I469)</f>
        <v>0</v>
      </c>
      <c r="J470" s="53">
        <f>SUM(J468:J469)</f>
        <v>145443.69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30498616.57</v>
      </c>
      <c r="G472" s="18">
        <v>613979.78</v>
      </c>
      <c r="H472" s="18">
        <v>462308.52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30498616.57</v>
      </c>
      <c r="G474" s="53">
        <f>SUM(G472:G473)</f>
        <v>613979.78</v>
      </c>
      <c r="H474" s="53">
        <f>SUM(H472:H473)</f>
        <v>462308.52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1638506.9100000001</v>
      </c>
      <c r="G476" s="53">
        <f>(G465+G470)- G474</f>
        <v>10629.959999999963</v>
      </c>
      <c r="H476" s="53">
        <f>(H465+H470)- H474</f>
        <v>0</v>
      </c>
      <c r="I476" s="53">
        <f>(I465+I470)- I474</f>
        <v>0</v>
      </c>
      <c r="J476" s="53">
        <f>(J465+J470)- J474</f>
        <v>505925.59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30732213.059999999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4.51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7225000</v>
      </c>
      <c r="G495" s="18"/>
      <c r="H495" s="18"/>
      <c r="I495" s="18"/>
      <c r="J495" s="18"/>
      <c r="K495" s="53">
        <f>SUM(F495:J495)</f>
        <v>7225000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1370375</v>
      </c>
      <c r="G497" s="18"/>
      <c r="H497" s="18"/>
      <c r="I497" s="18"/>
      <c r="J497" s="18"/>
      <c r="K497" s="53">
        <f t="shared" si="35"/>
        <v>1370375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6190000</v>
      </c>
      <c r="G498" s="204"/>
      <c r="H498" s="204"/>
      <c r="I498" s="204"/>
      <c r="J498" s="204"/>
      <c r="K498" s="205">
        <f t="shared" si="35"/>
        <v>6190000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927500</v>
      </c>
      <c r="G499" s="18"/>
      <c r="H499" s="18"/>
      <c r="I499" s="18"/>
      <c r="J499" s="18"/>
      <c r="K499" s="53">
        <f t="shared" si="35"/>
        <v>927500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7117500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7117500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1035000</v>
      </c>
      <c r="G501" s="204"/>
      <c r="H501" s="204"/>
      <c r="I501" s="204"/>
      <c r="J501" s="204"/>
      <c r="K501" s="205">
        <f t="shared" si="35"/>
        <v>1035000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283625</v>
      </c>
      <c r="G502" s="18"/>
      <c r="H502" s="18"/>
      <c r="I502" s="18"/>
      <c r="J502" s="18"/>
      <c r="K502" s="53">
        <f t="shared" si="35"/>
        <v>283625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1318625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1318625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63240+97553+233267.14+9262.69+234345.23+21172.6+80446.11</f>
        <v>739286.77</v>
      </c>
      <c r="G521" s="18">
        <f>279916.95+52522.95+42722.04+1372.19+29756.21+3880.92+13823.31</f>
        <v>423994.57</v>
      </c>
      <c r="H521" s="18">
        <f>29350.57+116.15+118002.15+54858.87</f>
        <v>202327.74</v>
      </c>
      <c r="I521" s="18">
        <f>677.92+299.79+128.46+214.43+4843.01+518</f>
        <v>6681.6100000000006</v>
      </c>
      <c r="J521" s="18">
        <f>7601.39</f>
        <v>7601.39</v>
      </c>
      <c r="K521" s="18">
        <f>1075</f>
        <v>1075</v>
      </c>
      <c r="L521" s="88">
        <f>SUM(F521:K521)</f>
        <v>1380967.08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422470.3+13628.79+1039.46+935.51+36142.46</f>
        <v>474216.52</v>
      </c>
      <c r="G522" s="18">
        <f>76415.69+6210.47</f>
        <v>82626.16</v>
      </c>
      <c r="H522" s="18">
        <f>13399.17+53.03+159750.3+24646.74</f>
        <v>197849.24</v>
      </c>
      <c r="I522" s="18">
        <f>823.52+2175.84</f>
        <v>2999.36</v>
      </c>
      <c r="J522" s="18">
        <f>3415.12</f>
        <v>3415.12</v>
      </c>
      <c r="K522" s="18"/>
      <c r="L522" s="88">
        <f>SUM(F522:K522)</f>
        <v>761106.4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110316.96</f>
        <v>110316.96</v>
      </c>
      <c r="G523" s="18">
        <f>150167.93</f>
        <v>150167.93</v>
      </c>
      <c r="H523" s="18">
        <f>21055.84+83.33+226472.74+3054729.69</f>
        <v>3302341.6</v>
      </c>
      <c r="I523" s="18"/>
      <c r="J523" s="18"/>
      <c r="K523" s="18"/>
      <c r="L523" s="88">
        <f>SUM(F523:K523)</f>
        <v>3562826.49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1323820.25</v>
      </c>
      <c r="G524" s="108">
        <f t="shared" ref="G524:L524" si="36">SUM(G521:G523)</f>
        <v>656788.65999999992</v>
      </c>
      <c r="H524" s="108">
        <f t="shared" si="36"/>
        <v>3702518.58</v>
      </c>
      <c r="I524" s="108">
        <f t="shared" si="36"/>
        <v>9680.9700000000012</v>
      </c>
      <c r="J524" s="108">
        <f t="shared" si="36"/>
        <v>11016.51</v>
      </c>
      <c r="K524" s="108">
        <f t="shared" si="36"/>
        <v>1075</v>
      </c>
      <c r="L524" s="89">
        <f t="shared" si="36"/>
        <v>5704899.9700000007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37779.28+202187+139515</f>
        <v>379481.28</v>
      </c>
      <c r="G526" s="18">
        <f>333.04+18043.58+47034.78+32924.2</f>
        <v>98335.6</v>
      </c>
      <c r="H526" s="18">
        <f>89927.64+58276.73+63571.5+34662.89+578.95+575.51+20700+6661.23</f>
        <v>274954.45</v>
      </c>
      <c r="I526" s="18">
        <f>649.38+1705.13+2792.93</f>
        <v>5147.4400000000005</v>
      </c>
      <c r="J526" s="18">
        <f>5972.4+1387.73</f>
        <v>7360.1299999999992</v>
      </c>
      <c r="K526" s="18"/>
      <c r="L526" s="88">
        <f>SUM(F526:K526)</f>
        <v>765278.9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17247.06+77033</f>
        <v>94280.06</v>
      </c>
      <c r="G527" s="18">
        <f>152.04+8237.29+25458.02+18060.97</f>
        <v>51908.320000000007</v>
      </c>
      <c r="H527" s="18">
        <f>41053.92+26604.6+29021.77+15824.36+1356.43+9300</f>
        <v>123161.07999999999</v>
      </c>
      <c r="I527" s="18">
        <f>296.45+67.95</f>
        <v>364.4</v>
      </c>
      <c r="J527" s="18"/>
      <c r="K527" s="18"/>
      <c r="L527" s="88">
        <f>SUM(F527:K527)</f>
        <v>269713.86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27102.53</f>
        <v>27102.53</v>
      </c>
      <c r="G528" s="18">
        <f>238.92+12944.31</f>
        <v>13183.23</v>
      </c>
      <c r="H528" s="18">
        <f>64513.3+41807.22+45605.64+24866.85</f>
        <v>176793.01</v>
      </c>
      <c r="I528" s="18">
        <f>465.86</f>
        <v>465.86</v>
      </c>
      <c r="J528" s="18"/>
      <c r="K528" s="18"/>
      <c r="L528" s="88">
        <f>SUM(F528:K528)</f>
        <v>217544.63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500863.87</v>
      </c>
      <c r="G529" s="89">
        <f t="shared" ref="G529:L529" si="37">SUM(G526:G528)</f>
        <v>163427.15000000002</v>
      </c>
      <c r="H529" s="89">
        <f t="shared" si="37"/>
        <v>574908.54</v>
      </c>
      <c r="I529" s="89">
        <f t="shared" si="37"/>
        <v>5977.7</v>
      </c>
      <c r="J529" s="89">
        <f t="shared" si="37"/>
        <v>7360.1299999999992</v>
      </c>
      <c r="K529" s="89">
        <f t="shared" si="37"/>
        <v>0</v>
      </c>
      <c r="L529" s="89">
        <f t="shared" si="37"/>
        <v>1252537.3900000001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83050.78</f>
        <v>83050.78</v>
      </c>
      <c r="G531" s="18">
        <f>44974.72</f>
        <v>44974.720000000001</v>
      </c>
      <c r="H531" s="18">
        <f>2259.49+1957.35+129.34+101.85</f>
        <v>4448.0300000000007</v>
      </c>
      <c r="I531" s="18">
        <f>276.81</f>
        <v>276.81</v>
      </c>
      <c r="J531" s="18">
        <f>1221.4</f>
        <v>1221.4000000000001</v>
      </c>
      <c r="K531" s="18"/>
      <c r="L531" s="88">
        <f>SUM(F531:K531)</f>
        <v>133971.74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37914.49</f>
        <v>37914.49</v>
      </c>
      <c r="G532" s="18">
        <f>20531.94</f>
        <v>20531.939999999999</v>
      </c>
      <c r="H532" s="18">
        <f>1031.51+893.57+14.15</f>
        <v>1939.23</v>
      </c>
      <c r="I532" s="18">
        <f>126.37</f>
        <v>126.37</v>
      </c>
      <c r="J532" s="18">
        <f>557.6</f>
        <v>557.6</v>
      </c>
      <c r="K532" s="18"/>
      <c r="L532" s="88">
        <f>SUM(F532:K532)</f>
        <v>61069.63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59579.91</f>
        <v>59579.91</v>
      </c>
      <c r="G533" s="18">
        <f>32264.47</f>
        <v>32264.47</v>
      </c>
      <c r="H533" s="18">
        <f>1620.94+1404.18</f>
        <v>3025.12</v>
      </c>
      <c r="I533" s="18">
        <f>198.58</f>
        <v>198.58</v>
      </c>
      <c r="J533" s="18">
        <f>876.22</f>
        <v>876.22</v>
      </c>
      <c r="K533" s="18"/>
      <c r="L533" s="88">
        <f>SUM(F533:K533)</f>
        <v>95944.3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180545.18</v>
      </c>
      <c r="G534" s="89">
        <f t="shared" ref="G534:L534" si="38">SUM(G531:G533)</f>
        <v>97771.13</v>
      </c>
      <c r="H534" s="89">
        <f t="shared" si="38"/>
        <v>9412.380000000001</v>
      </c>
      <c r="I534" s="89">
        <f t="shared" si="38"/>
        <v>601.76</v>
      </c>
      <c r="J534" s="89">
        <f t="shared" si="38"/>
        <v>2655.2200000000003</v>
      </c>
      <c r="K534" s="89">
        <f t="shared" si="38"/>
        <v>0</v>
      </c>
      <c r="L534" s="89">
        <f t="shared" si="38"/>
        <v>290985.67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44247.59</v>
      </c>
      <c r="I536" s="18"/>
      <c r="J536" s="18"/>
      <c r="K536" s="18"/>
      <c r="L536" s="88">
        <f>SUM(F536:K536)</f>
        <v>44247.59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24889.27</v>
      </c>
      <c r="I537" s="18"/>
      <c r="J537" s="18"/>
      <c r="K537" s="18"/>
      <c r="L537" s="88">
        <f>SUM(F537:K537)</f>
        <v>24889.27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69136.86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69136.86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281722.37</v>
      </c>
      <c r="I541" s="18"/>
      <c r="J541" s="18"/>
      <c r="K541" s="18"/>
      <c r="L541" s="88">
        <f>SUM(F541:K541)</f>
        <v>281722.37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129122.75</v>
      </c>
      <c r="I542" s="18"/>
      <c r="J542" s="18"/>
      <c r="K542" s="18"/>
      <c r="L542" s="88">
        <f>SUM(F542:K542)</f>
        <v>129122.75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176076.48</v>
      </c>
      <c r="I543" s="18"/>
      <c r="J543" s="18"/>
      <c r="K543" s="18"/>
      <c r="L543" s="88">
        <f>SUM(F543:K543)</f>
        <v>176076.48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586921.6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586921.6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2005229.3</v>
      </c>
      <c r="G545" s="89">
        <f t="shared" ref="G545:L545" si="41">G524+G529+G534+G539+G544</f>
        <v>917986.94</v>
      </c>
      <c r="H545" s="89">
        <f t="shared" si="41"/>
        <v>4942897.96</v>
      </c>
      <c r="I545" s="89">
        <f t="shared" si="41"/>
        <v>16260.430000000002</v>
      </c>
      <c r="J545" s="89">
        <f t="shared" si="41"/>
        <v>21031.86</v>
      </c>
      <c r="K545" s="89">
        <f t="shared" si="41"/>
        <v>1075</v>
      </c>
      <c r="L545" s="89">
        <f t="shared" si="41"/>
        <v>7904481.4900000012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1380967.08</v>
      </c>
      <c r="G549" s="87">
        <f>L526</f>
        <v>765278.9</v>
      </c>
      <c r="H549" s="87">
        <f>L531</f>
        <v>133971.74</v>
      </c>
      <c r="I549" s="87">
        <f>L536</f>
        <v>44247.59</v>
      </c>
      <c r="J549" s="87">
        <f>L541</f>
        <v>281722.37</v>
      </c>
      <c r="K549" s="87">
        <f>SUM(F549:J549)</f>
        <v>2606187.6799999997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761106.4</v>
      </c>
      <c r="G550" s="87">
        <f>L527</f>
        <v>269713.86</v>
      </c>
      <c r="H550" s="87">
        <f>L532</f>
        <v>61069.63</v>
      </c>
      <c r="I550" s="87">
        <f>L537</f>
        <v>24889.27</v>
      </c>
      <c r="J550" s="87">
        <f>L542</f>
        <v>129122.75</v>
      </c>
      <c r="K550" s="87">
        <f>SUM(F550:J550)</f>
        <v>1245901.9099999999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3562826.49</v>
      </c>
      <c r="G551" s="87">
        <f>L528</f>
        <v>217544.63</v>
      </c>
      <c r="H551" s="87">
        <f>L533</f>
        <v>95944.3</v>
      </c>
      <c r="I551" s="87">
        <f>L538</f>
        <v>0</v>
      </c>
      <c r="J551" s="87">
        <f>L543</f>
        <v>176076.48</v>
      </c>
      <c r="K551" s="87">
        <f>SUM(F551:J551)</f>
        <v>4052391.9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5704899.9700000007</v>
      </c>
      <c r="G552" s="89">
        <f t="shared" si="42"/>
        <v>1252537.3900000001</v>
      </c>
      <c r="H552" s="89">
        <f t="shared" si="42"/>
        <v>290985.67</v>
      </c>
      <c r="I552" s="89">
        <f t="shared" si="42"/>
        <v>69136.86</v>
      </c>
      <c r="J552" s="89">
        <f t="shared" si="42"/>
        <v>586921.6</v>
      </c>
      <c r="K552" s="89">
        <f t="shared" si="42"/>
        <v>7904481.4900000002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97553</v>
      </c>
      <c r="G562" s="18">
        <v>52522.95</v>
      </c>
      <c r="H562" s="18">
        <v>252.5</v>
      </c>
      <c r="I562" s="18">
        <v>514.22</v>
      </c>
      <c r="J562" s="18"/>
      <c r="K562" s="18"/>
      <c r="L562" s="88">
        <f>SUM(F562:K562)</f>
        <v>150842.67000000001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19748.23</v>
      </c>
      <c r="G563" s="18">
        <v>2380.16</v>
      </c>
      <c r="H563" s="18"/>
      <c r="I563" s="18"/>
      <c r="J563" s="18"/>
      <c r="K563" s="18"/>
      <c r="L563" s="88">
        <f>SUM(F563:K563)</f>
        <v>22128.39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117301.23</v>
      </c>
      <c r="G565" s="89">
        <f t="shared" si="44"/>
        <v>54903.11</v>
      </c>
      <c r="H565" s="89">
        <f t="shared" si="44"/>
        <v>252.5</v>
      </c>
      <c r="I565" s="89">
        <f t="shared" si="44"/>
        <v>514.22</v>
      </c>
      <c r="J565" s="89">
        <f t="shared" si="44"/>
        <v>0</v>
      </c>
      <c r="K565" s="89">
        <f t="shared" si="44"/>
        <v>0</v>
      </c>
      <c r="L565" s="89">
        <f t="shared" si="44"/>
        <v>172971.06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f>49573.2</f>
        <v>49573.2</v>
      </c>
      <c r="G567" s="18">
        <v>23621.62</v>
      </c>
      <c r="H567" s="18"/>
      <c r="I567" s="18"/>
      <c r="J567" s="18"/>
      <c r="K567" s="18">
        <v>1292.5</v>
      </c>
      <c r="L567" s="88">
        <f>SUM(F567:K567)</f>
        <v>74487.319999999992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f>27884.92</f>
        <v>27884.92</v>
      </c>
      <c r="G568" s="18">
        <v>13287.14</v>
      </c>
      <c r="H568" s="18">
        <v>7651.76</v>
      </c>
      <c r="I568" s="18">
        <v>216.54</v>
      </c>
      <c r="J568" s="18"/>
      <c r="K568" s="18"/>
      <c r="L568" s="88">
        <f>SUM(F568:K568)</f>
        <v>49040.36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77458.12</v>
      </c>
      <c r="G570" s="193">
        <f t="shared" ref="G570:L570" si="45">SUM(G567:G569)</f>
        <v>36908.759999999995</v>
      </c>
      <c r="H570" s="193">
        <f t="shared" si="45"/>
        <v>7651.76</v>
      </c>
      <c r="I570" s="193">
        <f t="shared" si="45"/>
        <v>216.54</v>
      </c>
      <c r="J570" s="193">
        <f t="shared" si="45"/>
        <v>0</v>
      </c>
      <c r="K570" s="193">
        <f t="shared" si="45"/>
        <v>1292.5</v>
      </c>
      <c r="L570" s="193">
        <f t="shared" si="45"/>
        <v>123527.67999999999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194759.34999999998</v>
      </c>
      <c r="G571" s="89">
        <f t="shared" ref="G571:L571" si="46">G560+G565+G570</f>
        <v>91811.87</v>
      </c>
      <c r="H571" s="89">
        <f t="shared" si="46"/>
        <v>7904.26</v>
      </c>
      <c r="I571" s="89">
        <f t="shared" si="46"/>
        <v>730.76</v>
      </c>
      <c r="J571" s="89">
        <f t="shared" si="46"/>
        <v>0</v>
      </c>
      <c r="K571" s="89">
        <f t="shared" si="46"/>
        <v>1292.5</v>
      </c>
      <c r="L571" s="89">
        <f t="shared" si="46"/>
        <v>296498.74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3624868.2</v>
      </c>
      <c r="I575" s="87">
        <f>SUM(F575:H575)</f>
        <v>3624868.2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2745098.35</v>
      </c>
      <c r="I577" s="87">
        <f t="shared" si="47"/>
        <v>2745098.35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>
        <v>7845</v>
      </c>
      <c r="I578" s="87">
        <f t="shared" si="47"/>
        <v>7845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11949.28</v>
      </c>
      <c r="G579" s="18">
        <v>7651.76</v>
      </c>
      <c r="H579" s="18">
        <v>979013.27</v>
      </c>
      <c r="I579" s="87">
        <f t="shared" si="47"/>
        <v>998614.31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1053940.77</v>
      </c>
      <c r="I581" s="87">
        <f t="shared" si="47"/>
        <v>1053940.77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106052.87</v>
      </c>
      <c r="G582" s="18">
        <v>159750.29999999999</v>
      </c>
      <c r="H582" s="18">
        <v>1021775.65</v>
      </c>
      <c r="I582" s="87">
        <f t="shared" si="47"/>
        <v>1287578.82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465759.6</v>
      </c>
      <c r="I591" s="18">
        <v>261989.78</v>
      </c>
      <c r="J591" s="18">
        <v>242583.13</v>
      </c>
      <c r="K591" s="104">
        <f t="shared" ref="K591:K597" si="48">SUM(H591:J591)</f>
        <v>970332.51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281722.37</v>
      </c>
      <c r="I592" s="18">
        <v>129122.75</v>
      </c>
      <c r="J592" s="18">
        <v>176076.48</v>
      </c>
      <c r="K592" s="104">
        <f t="shared" si="48"/>
        <v>586921.6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16685.740000000002</v>
      </c>
      <c r="J594" s="18"/>
      <c r="K594" s="104">
        <f t="shared" si="48"/>
        <v>16685.740000000002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1281.6+5059.2</f>
        <v>6340.7999999999993</v>
      </c>
      <c r="I595" s="18">
        <v>4364.9799999999996</v>
      </c>
      <c r="J595" s="18"/>
      <c r="K595" s="104">
        <f t="shared" si="48"/>
        <v>10705.779999999999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753822.77</v>
      </c>
      <c r="I598" s="108">
        <f>SUM(I591:I597)</f>
        <v>412163.25</v>
      </c>
      <c r="J598" s="108">
        <f>SUM(J591:J597)</f>
        <v>418659.61</v>
      </c>
      <c r="K598" s="108">
        <f>SUM(K591:K597)</f>
        <v>1584645.63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122855.96+10734.63</f>
        <v>133590.59</v>
      </c>
      <c r="I604" s="18">
        <f>143151.42+3566.76</f>
        <v>146718.18000000002</v>
      </c>
      <c r="J604" s="18"/>
      <c r="K604" s="104">
        <f>SUM(H604:J604)</f>
        <v>280308.77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133590.59</v>
      </c>
      <c r="I605" s="108">
        <f>SUM(I602:I604)</f>
        <v>146718.18000000002</v>
      </c>
      <c r="J605" s="108">
        <f>SUM(J602:J604)</f>
        <v>0</v>
      </c>
      <c r="K605" s="108">
        <f>SUM(K602:K604)</f>
        <v>280308.77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9487.5+600</f>
        <v>10087.5</v>
      </c>
      <c r="G611" s="18">
        <f>852.26+1016.59+130.92</f>
        <v>1999.77</v>
      </c>
      <c r="H611" s="18"/>
      <c r="I611" s="18">
        <f>14033.37</f>
        <v>14033.37</v>
      </c>
      <c r="J611" s="18">
        <f>2863.65</f>
        <v>2863.65</v>
      </c>
      <c r="K611" s="18"/>
      <c r="L611" s="88">
        <f>SUM(F611:K611)</f>
        <v>28984.29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f>7700+875</f>
        <v>8575</v>
      </c>
      <c r="G612" s="18">
        <f>656.02+1073.43</f>
        <v>1729.45</v>
      </c>
      <c r="H612" s="18"/>
      <c r="I612" s="18">
        <v>1576.65</v>
      </c>
      <c r="J612" s="18"/>
      <c r="K612" s="18"/>
      <c r="L612" s="88">
        <f>SUM(F612:K612)</f>
        <v>11881.1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18662.5</v>
      </c>
      <c r="G614" s="108">
        <f t="shared" si="49"/>
        <v>3729.2200000000003</v>
      </c>
      <c r="H614" s="108">
        <f t="shared" si="49"/>
        <v>0</v>
      </c>
      <c r="I614" s="108">
        <f t="shared" si="49"/>
        <v>15610.02</v>
      </c>
      <c r="J614" s="108">
        <f t="shared" si="49"/>
        <v>2863.65</v>
      </c>
      <c r="K614" s="108">
        <f t="shared" si="49"/>
        <v>0</v>
      </c>
      <c r="L614" s="89">
        <f t="shared" si="49"/>
        <v>40865.39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2432881.29</v>
      </c>
      <c r="H617" s="109">
        <f>SUM(F52)</f>
        <v>2432881.29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21147.21</v>
      </c>
      <c r="H618" s="109">
        <f>SUM(G52)</f>
        <v>21147.21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107180.58</v>
      </c>
      <c r="H619" s="109">
        <f>SUM(H52)</f>
        <v>107180.58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505925.59</v>
      </c>
      <c r="H621" s="109">
        <f>SUM(J52)</f>
        <v>505925.59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1638506.91</v>
      </c>
      <c r="H622" s="109">
        <f>F476</f>
        <v>1638506.9100000001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10629.96</v>
      </c>
      <c r="H623" s="109">
        <f>G476</f>
        <v>10629.959999999963</v>
      </c>
      <c r="I623" s="121" t="s">
        <v>102</v>
      </c>
      <c r="J623" s="109">
        <f t="shared" si="50"/>
        <v>3.637978807091713E-11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505925.59</v>
      </c>
      <c r="H626" s="109">
        <f>J476</f>
        <v>505925.59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31016426.549999997</v>
      </c>
      <c r="H627" s="104">
        <f>SUM(F468)</f>
        <v>31016426.550000001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614829.16</v>
      </c>
      <c r="H628" s="104">
        <f>SUM(G468)</f>
        <v>614829.16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462308.51999999996</v>
      </c>
      <c r="H629" s="104">
        <f>SUM(H468)</f>
        <v>462308.52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145443.69</v>
      </c>
      <c r="H631" s="104">
        <f>SUM(J468)</f>
        <v>145443.69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30498616.57</v>
      </c>
      <c r="H632" s="104">
        <f>SUM(F472)</f>
        <v>30498616.57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462308.52</v>
      </c>
      <c r="H633" s="104">
        <f>SUM(H472)</f>
        <v>462308.52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264006.04000000004</v>
      </c>
      <c r="H634" s="104">
        <f>I369</f>
        <v>264006.04000000004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613979.78</v>
      </c>
      <c r="H635" s="104">
        <f>SUM(G472)</f>
        <v>613979.78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145443.69</v>
      </c>
      <c r="H637" s="164">
        <f>SUM(J468)</f>
        <v>145443.69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236693.07</v>
      </c>
      <c r="H639" s="104">
        <f>SUM(F461)</f>
        <v>236693.07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269232.52</v>
      </c>
      <c r="H640" s="104">
        <f>SUM(G461)</f>
        <v>269232.52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505925.59</v>
      </c>
      <c r="H642" s="104">
        <f>SUM(I461)</f>
        <v>505925.59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9943.69</v>
      </c>
      <c r="H644" s="104">
        <f>H408</f>
        <v>9943.69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135500</v>
      </c>
      <c r="H645" s="104">
        <f>G408</f>
        <v>135500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145443.69</v>
      </c>
      <c r="H646" s="104">
        <f>L408</f>
        <v>145443.69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1584645.63</v>
      </c>
      <c r="H647" s="104">
        <f>L208+L226+L244</f>
        <v>1584645.63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280308.77</v>
      </c>
      <c r="H648" s="104">
        <f>(J257+J338)-(J255+J336)</f>
        <v>280308.77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753822.77</v>
      </c>
      <c r="H649" s="104">
        <f>H598</f>
        <v>753822.77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412163.25</v>
      </c>
      <c r="H650" s="104">
        <f>I598</f>
        <v>412163.25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418659.61</v>
      </c>
      <c r="H651" s="104">
        <f>J598</f>
        <v>418659.61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135500</v>
      </c>
      <c r="H655" s="104">
        <f>K266+K347</f>
        <v>135500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12128002.660000002</v>
      </c>
      <c r="G660" s="19">
        <f>(L229+L309+L359)</f>
        <v>7451968.0300000003</v>
      </c>
      <c r="H660" s="19">
        <f>(L247+L328+L360)</f>
        <v>10430002.859999999</v>
      </c>
      <c r="I660" s="19">
        <f>SUM(F660:H660)</f>
        <v>30009973.550000001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269185.73322294099</v>
      </c>
      <c r="G661" s="19">
        <f>(L359/IF(SUM(L358:L360)=0,1,SUM(L358:L360))*(SUM(G97:G110)))</f>
        <v>131472.18677705902</v>
      </c>
      <c r="H661" s="19">
        <f>(L360/IF(SUM(L358:L360)=0,1,SUM(L358:L360))*(SUM(G97:G110)))</f>
        <v>0</v>
      </c>
      <c r="I661" s="19">
        <f>SUM(F661:H661)</f>
        <v>400657.92000000004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753822.77</v>
      </c>
      <c r="G662" s="19">
        <f>(L226+L306)-(J226+J306)</f>
        <v>412163.25</v>
      </c>
      <c r="H662" s="19">
        <f>(L244+L325)-(J244+J325)</f>
        <v>418659.61</v>
      </c>
      <c r="I662" s="19">
        <f>SUM(F662:H662)</f>
        <v>1584645.63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280577.02999999997</v>
      </c>
      <c r="G663" s="199">
        <f>SUM(G575:G587)+SUM(I602:I604)+L612</f>
        <v>326001.33999999997</v>
      </c>
      <c r="H663" s="199">
        <f>SUM(H575:H587)+SUM(J602:J604)+L613</f>
        <v>9432541.2400000002</v>
      </c>
      <c r="I663" s="19">
        <f>SUM(F663:H663)</f>
        <v>10039119.609999999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10824417.12677706</v>
      </c>
      <c r="G664" s="19">
        <f>G660-SUM(G661:G663)</f>
        <v>6582331.2532229414</v>
      </c>
      <c r="H664" s="19">
        <f>H660-SUM(H661:H663)</f>
        <v>578802.00999999978</v>
      </c>
      <c r="I664" s="19">
        <f>I660-SUM(I661:I663)</f>
        <v>17985550.390000001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776.87</v>
      </c>
      <c r="G665" s="248">
        <v>474.81</v>
      </c>
      <c r="H665" s="248"/>
      <c r="I665" s="19">
        <f>SUM(F665:H665)</f>
        <v>1251.68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13933.37</v>
      </c>
      <c r="G667" s="19">
        <f>ROUND(G664/G665,2)</f>
        <v>13863.08</v>
      </c>
      <c r="H667" s="19" t="e">
        <f>ROUND(H664/H665,2)</f>
        <v>#DIV/0!</v>
      </c>
      <c r="I667" s="19">
        <f>ROUND(I664/I665,2)</f>
        <v>14369.13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13933.37</v>
      </c>
      <c r="G672" s="19">
        <f>ROUND((G664+G669)/(G665+G670),2)</f>
        <v>13863.08</v>
      </c>
      <c r="H672" s="19" t="e">
        <f>ROUND((H664+H669)/(H665+H670),2)</f>
        <v>#DIV/0!</v>
      </c>
      <c r="I672" s="19">
        <f>ROUND((I664+I669)/(I665+I670),2)</f>
        <v>14369.13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Hooksett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5149296.5699999994</v>
      </c>
      <c r="C9" s="229">
        <f>'DOE25'!G197+'DOE25'!G215+'DOE25'!G233+'DOE25'!G276+'DOE25'!G295+'DOE25'!G314</f>
        <v>2784649.25</v>
      </c>
    </row>
    <row r="10" spans="1:3" x14ac:dyDescent="0.2">
      <c r="A10" t="s">
        <v>778</v>
      </c>
      <c r="B10" s="240">
        <f>1311920.25+1200+5850+1408839.52+6000+2019662.84+7500+6924.57+70868+9487.5</f>
        <v>4848252.6800000006</v>
      </c>
      <c r="C10" s="240">
        <f>201050.26+214417.52+1038.17+5130.63+103706.96+311884.42+529.73+99302.3-19.99+153190.7+11325.31+852.26+562.16+874547.67+63581.45+2914.19+6439.49+1109.76+4798.71+525640.72+38593.62+1980.99+4898.34+8615.97</f>
        <v>2636091.3400000003</v>
      </c>
    </row>
    <row r="11" spans="1:3" x14ac:dyDescent="0.2">
      <c r="A11" t="s">
        <v>779</v>
      </c>
      <c r="B11" s="240">
        <f>82153.03+21636.45</f>
        <v>103789.48</v>
      </c>
      <c r="C11" s="240">
        <f>2416.69+6284.71+1655.19+27047.87+1966.44+90.13+199.16+5309.5+389.83+20.01+49.48+175.84</f>
        <v>45604.850000000006</v>
      </c>
    </row>
    <row r="12" spans="1:3" x14ac:dyDescent="0.2">
      <c r="A12" t="s">
        <v>780</v>
      </c>
      <c r="B12" s="240">
        <f>54082.04+23368.21+38563.36+81240.8</f>
        <v>197254.41</v>
      </c>
      <c r="C12" s="240">
        <f>1787.67+6213.86+94951.53</f>
        <v>102953.06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5149296.5700000012</v>
      </c>
      <c r="C13" s="231">
        <f>SUM(C10:C12)</f>
        <v>2784649.2500000005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1599596.8100000003</v>
      </c>
      <c r="C18" s="229">
        <f>'DOE25'!G198+'DOE25'!G216+'DOE25'!G234+'DOE25'!G277+'DOE25'!G296+'DOE25'!G315</f>
        <v>952143.38</v>
      </c>
    </row>
    <row r="19" spans="1:3" x14ac:dyDescent="0.2">
      <c r="A19" t="s">
        <v>778</v>
      </c>
      <c r="B19" s="240">
        <f>63240+97553+142716.65+4387.5+75891+1450+1500+16627.36+19748.23+214463+1362.5+3000+5970+77458.12+71898</f>
        <v>797265.36</v>
      </c>
      <c r="C19" s="240">
        <f>279916.95+60548.37+22169.85+687.52+12137.74+1424.42+20926.26+33820.13+935.51+18362.66+9925.98+4022.8+1380.64+14585.12+680.19+1403.4+453.56+5348.46+11266.31+327.56+733.04+189.02+371.85+70022.37+5130.53+212.31+264.87+593.54</f>
        <v>577840.96000000008</v>
      </c>
    </row>
    <row r="20" spans="1:3" x14ac:dyDescent="0.2">
      <c r="A20" t="s">
        <v>779</v>
      </c>
      <c r="B20" s="240">
        <f>90550.49+4875.19+155504.23+4545.24+203644.8+7658.79+13317.98+44690.57</f>
        <v>524787.28999999992</v>
      </c>
      <c r="C20" s="240">
        <f>1960.41+91.13+728.15+10348.02+1018.82+6927.11+11896.07+347.71+15578.83+585.9+3419.01+209.42+468.67+383.77+754.96+67276.4+4929.33+203.99+254.48</f>
        <v>127382.18</v>
      </c>
    </row>
    <row r="21" spans="1:3" x14ac:dyDescent="0.2">
      <c r="A21" t="s">
        <v>780</v>
      </c>
      <c r="B21" s="240">
        <f>96998.98+148313.18+32232</f>
        <v>277544.15999999997</v>
      </c>
      <c r="C21" s="240">
        <f>149149.11+97771.13</f>
        <v>246920.24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1599596.8099999998</v>
      </c>
      <c r="C22" s="231">
        <f>SUM(C19:C21)</f>
        <v>952143.38000000012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73910</v>
      </c>
      <c r="C36" s="235">
        <f>'DOE25'!G200+'DOE25'!G218+'DOE25'!G236+'DOE25'!G279+'DOE25'!G298+'DOE25'!G317</f>
        <v>14636.63</v>
      </c>
    </row>
    <row r="37" spans="1:3" x14ac:dyDescent="0.2">
      <c r="A37" t="s">
        <v>778</v>
      </c>
      <c r="B37" s="240">
        <f>600+7700+2000</f>
        <v>10300</v>
      </c>
      <c r="C37" s="240">
        <f>108.58+1729.45</f>
        <v>1838.03</v>
      </c>
    </row>
    <row r="38" spans="1:3" x14ac:dyDescent="0.2">
      <c r="A38" t="s">
        <v>779</v>
      </c>
      <c r="B38" s="240">
        <v>875</v>
      </c>
      <c r="C38" s="240">
        <f>22.34</f>
        <v>22.34</v>
      </c>
    </row>
    <row r="39" spans="1:3" x14ac:dyDescent="0.2">
      <c r="A39" t="s">
        <v>780</v>
      </c>
      <c r="B39" s="240">
        <f>2250+4250+27503+28732</f>
        <v>62735</v>
      </c>
      <c r="C39" s="240">
        <f>403.32+814.73+6342.81+5215.4</f>
        <v>12776.26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73910</v>
      </c>
      <c r="C40" s="231">
        <f>SUM(C37:C39)</f>
        <v>14636.630000000001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Hooksett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20804485.989999998</v>
      </c>
      <c r="D5" s="20">
        <f>SUM('DOE25'!L197:L200)+SUM('DOE25'!L215:L218)+SUM('DOE25'!L233:L236)-F5-G5</f>
        <v>20779461.039999999</v>
      </c>
      <c r="E5" s="243"/>
      <c r="F5" s="255">
        <f>SUM('DOE25'!J197:J200)+SUM('DOE25'!J215:J218)+SUM('DOE25'!J233:J236)</f>
        <v>20812.449999999997</v>
      </c>
      <c r="G5" s="53">
        <f>SUM('DOE25'!K197:K200)+SUM('DOE25'!K215:K218)+SUM('DOE25'!K233:K236)</f>
        <v>4212.5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1799753.35</v>
      </c>
      <c r="D6" s="20">
        <f>'DOE25'!L202+'DOE25'!L220+'DOE25'!L238-F6-G6</f>
        <v>1787438.57</v>
      </c>
      <c r="E6" s="243"/>
      <c r="F6" s="255">
        <f>'DOE25'!J202+'DOE25'!J220+'DOE25'!J238</f>
        <v>7659.9800000000005</v>
      </c>
      <c r="G6" s="53">
        <f>'DOE25'!K202+'DOE25'!K220+'DOE25'!K238</f>
        <v>4654.8</v>
      </c>
      <c r="H6" s="259"/>
    </row>
    <row r="7" spans="1:9" x14ac:dyDescent="0.2">
      <c r="A7" s="32">
        <v>2200</v>
      </c>
      <c r="B7" t="s">
        <v>833</v>
      </c>
      <c r="C7" s="245">
        <f t="shared" si="0"/>
        <v>511349.96</v>
      </c>
      <c r="D7" s="20">
        <f>'DOE25'!L203+'DOE25'!L221+'DOE25'!L239-F7-G7</f>
        <v>485461.02</v>
      </c>
      <c r="E7" s="243"/>
      <c r="F7" s="255">
        <f>'DOE25'!J203+'DOE25'!J221+'DOE25'!J239</f>
        <v>25083.940000000002</v>
      </c>
      <c r="G7" s="53">
        <f>'DOE25'!K203+'DOE25'!K221+'DOE25'!K239</f>
        <v>805</v>
      </c>
      <c r="H7" s="259"/>
    </row>
    <row r="8" spans="1:9" x14ac:dyDescent="0.2">
      <c r="A8" s="32">
        <v>2300</v>
      </c>
      <c r="B8" t="s">
        <v>801</v>
      </c>
      <c r="C8" s="245">
        <f t="shared" si="0"/>
        <v>419474.41000000015</v>
      </c>
      <c r="D8" s="243"/>
      <c r="E8" s="20">
        <f>'DOE25'!L204+'DOE25'!L222+'DOE25'!L240-F8-G8-D9-D11</f>
        <v>413803.57000000012</v>
      </c>
      <c r="F8" s="255">
        <f>'DOE25'!J204+'DOE25'!J222+'DOE25'!J240</f>
        <v>0</v>
      </c>
      <c r="G8" s="53">
        <f>'DOE25'!K204+'DOE25'!K222+'DOE25'!K240</f>
        <v>5670.84</v>
      </c>
      <c r="H8" s="259"/>
    </row>
    <row r="9" spans="1:9" x14ac:dyDescent="0.2">
      <c r="A9" s="32">
        <v>2310</v>
      </c>
      <c r="B9" t="s">
        <v>817</v>
      </c>
      <c r="C9" s="245">
        <f t="shared" si="0"/>
        <v>104096.58</v>
      </c>
      <c r="D9" s="244">
        <v>104096.58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13500</v>
      </c>
      <c r="D10" s="243"/>
      <c r="E10" s="244">
        <v>13500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268616.59000000003</v>
      </c>
      <c r="D11" s="244">
        <v>268616.59000000003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1197225.75</v>
      </c>
      <c r="D12" s="20">
        <f>'DOE25'!L205+'DOE25'!L223+'DOE25'!L241-F12-G12</f>
        <v>1187401.01</v>
      </c>
      <c r="E12" s="243"/>
      <c r="F12" s="255">
        <f>'DOE25'!J205+'DOE25'!J223+'DOE25'!J241</f>
        <v>4861.74</v>
      </c>
      <c r="G12" s="53">
        <f>'DOE25'!K205+'DOE25'!K223+'DOE25'!K241</f>
        <v>4963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1901495.1</v>
      </c>
      <c r="D14" s="20">
        <f>'DOE25'!L207+'DOE25'!L225+'DOE25'!L243-F14-G14</f>
        <v>1827635.26</v>
      </c>
      <c r="E14" s="243"/>
      <c r="F14" s="255">
        <f>'DOE25'!J207+'DOE25'!J225+'DOE25'!J243</f>
        <v>73859.839999999997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1584645.63</v>
      </c>
      <c r="D15" s="20">
        <f>'DOE25'!L208+'DOE25'!L226+'DOE25'!L244-F15-G15</f>
        <v>1584645.63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342541.89</v>
      </c>
      <c r="D16" s="243"/>
      <c r="E16" s="20">
        <f>'DOE25'!L209+'DOE25'!L227+'DOE25'!L245-F16-G16</f>
        <v>208812.46000000002</v>
      </c>
      <c r="F16" s="255">
        <f>'DOE25'!J209+'DOE25'!J227+'DOE25'!J245</f>
        <v>133729.43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13164</v>
      </c>
      <c r="D22" s="243"/>
      <c r="E22" s="243"/>
      <c r="F22" s="255">
        <f>'DOE25'!L255+'DOE25'!L336</f>
        <v>13164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1370375</v>
      </c>
      <c r="D25" s="243"/>
      <c r="E25" s="243"/>
      <c r="F25" s="258"/>
      <c r="G25" s="256"/>
      <c r="H25" s="257">
        <f>'DOE25'!L260+'DOE25'!L261+'DOE25'!L341+'DOE25'!L342</f>
        <v>1370375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410222.37</v>
      </c>
      <c r="D29" s="20">
        <f>'DOE25'!L358+'DOE25'!L359+'DOE25'!L360-'DOE25'!I367-F29-G29</f>
        <v>407902.33</v>
      </c>
      <c r="E29" s="243"/>
      <c r="F29" s="255">
        <f>'DOE25'!J358+'DOE25'!J359+'DOE25'!J360</f>
        <v>1870.04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462308.52</v>
      </c>
      <c r="D31" s="20">
        <f>'DOE25'!L290+'DOE25'!L309+'DOE25'!L328+'DOE25'!L333+'DOE25'!L334+'DOE25'!L335-F31-G31</f>
        <v>439235.86</v>
      </c>
      <c r="E31" s="243"/>
      <c r="F31" s="255">
        <f>'DOE25'!J290+'DOE25'!J309+'DOE25'!J328+'DOE25'!J333+'DOE25'!J334+'DOE25'!J335</f>
        <v>14301.390000000001</v>
      </c>
      <c r="G31" s="53">
        <f>'DOE25'!K290+'DOE25'!K309+'DOE25'!K328+'DOE25'!K333+'DOE25'!K334+'DOE25'!K335</f>
        <v>8771.27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28871893.889999997</v>
      </c>
      <c r="E33" s="246">
        <f>SUM(E5:E31)</f>
        <v>636116.03000000014</v>
      </c>
      <c r="F33" s="246">
        <f>SUM(F5:F31)</f>
        <v>295342.81</v>
      </c>
      <c r="G33" s="246">
        <f>SUM(G5:G31)</f>
        <v>29527.41</v>
      </c>
      <c r="H33" s="246">
        <f>SUM(H5:H31)</f>
        <v>1370375</v>
      </c>
    </row>
    <row r="35" spans="2:8" ht="12" thickBot="1" x14ac:dyDescent="0.25">
      <c r="B35" s="253" t="s">
        <v>846</v>
      </c>
      <c r="D35" s="254">
        <f>E33</f>
        <v>636116.03000000014</v>
      </c>
      <c r="E35" s="249"/>
    </row>
    <row r="36" spans="2:8" ht="12" thickTop="1" x14ac:dyDescent="0.2">
      <c r="B36" t="s">
        <v>814</v>
      </c>
      <c r="D36" s="20">
        <f>D33</f>
        <v>28871893.889999997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48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Hooksett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2285892.67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88043.199999999997</v>
      </c>
      <c r="D11" s="95">
        <f>'DOE25'!G12</f>
        <v>6420.52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56948.82</v>
      </c>
      <c r="D12" s="95">
        <f>'DOE25'!G13</f>
        <v>14477.14</v>
      </c>
      <c r="E12" s="95">
        <f>'DOE25'!H13</f>
        <v>103198.95</v>
      </c>
      <c r="F12" s="95">
        <f>'DOE25'!I13</f>
        <v>0</v>
      </c>
      <c r="G12" s="95">
        <f>'DOE25'!J13</f>
        <v>505925.59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1996.6</v>
      </c>
      <c r="D13" s="95">
        <f>'DOE25'!G14</f>
        <v>249.55</v>
      </c>
      <c r="E13" s="95">
        <f>'DOE25'!H14</f>
        <v>3981.63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2432881.29</v>
      </c>
      <c r="D18" s="41">
        <f>SUM(D8:D17)</f>
        <v>21147.21</v>
      </c>
      <c r="E18" s="41">
        <f>SUM(E8:E17)</f>
        <v>107180.58</v>
      </c>
      <c r="F18" s="41">
        <f>SUM(F8:F17)</f>
        <v>0</v>
      </c>
      <c r="G18" s="41">
        <f>SUM(G8:G17)</f>
        <v>505925.59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6420.52</v>
      </c>
      <c r="D21" s="95">
        <f>'DOE25'!G22</f>
        <v>0</v>
      </c>
      <c r="E21" s="95">
        <f>'DOE25'!H22</f>
        <v>88043.199999999997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776739.15</v>
      </c>
      <c r="D23" s="95">
        <f>'DOE25'!G24</f>
        <v>216.15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11214.71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10301.1</v>
      </c>
      <c r="E29" s="95">
        <f>'DOE25'!H30</f>
        <v>19137.38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794374.38</v>
      </c>
      <c r="D31" s="41">
        <f>SUM(D21:D30)</f>
        <v>10517.25</v>
      </c>
      <c r="E31" s="41">
        <f>SUM(E21:E30)</f>
        <v>107180.58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16000</v>
      </c>
      <c r="D47" s="95">
        <f>'DOE25'!G48</f>
        <v>10629.96</v>
      </c>
      <c r="E47" s="95">
        <f>'DOE25'!H48</f>
        <v>0</v>
      </c>
      <c r="F47" s="95">
        <f>'DOE25'!I48</f>
        <v>0</v>
      </c>
      <c r="G47" s="95">
        <f>'DOE25'!J48</f>
        <v>505925.59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89312.18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1533194.73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1638506.91</v>
      </c>
      <c r="D50" s="41">
        <f>SUM(D34:D49)</f>
        <v>10629.96</v>
      </c>
      <c r="E50" s="41">
        <f>SUM(E34:E49)</f>
        <v>0</v>
      </c>
      <c r="F50" s="41">
        <f>SUM(F34:F49)</f>
        <v>0</v>
      </c>
      <c r="G50" s="41">
        <f>SUM(G34:G49)</f>
        <v>505925.59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2432881.29</v>
      </c>
      <c r="D51" s="41">
        <f>D50+D31</f>
        <v>21147.21</v>
      </c>
      <c r="E51" s="41">
        <f>E50+E31</f>
        <v>107180.58</v>
      </c>
      <c r="F51" s="41">
        <f>F50+F31</f>
        <v>0</v>
      </c>
      <c r="G51" s="41">
        <f>G50+G31</f>
        <v>505925.59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22027423.359999999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21514.75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27927.31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365.96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9943.69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400657.91999999998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43445.240000000005</v>
      </c>
      <c r="D61" s="95">
        <f>SUM('DOE25'!G98:G110)</f>
        <v>0</v>
      </c>
      <c r="E61" s="95">
        <f>SUM('DOE25'!H98:H110)</f>
        <v>4450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93253.260000000009</v>
      </c>
      <c r="D62" s="130">
        <f>SUM(D57:D61)</f>
        <v>400657.91999999998</v>
      </c>
      <c r="E62" s="130">
        <f>SUM(E57:E61)</f>
        <v>4450</v>
      </c>
      <c r="F62" s="130">
        <f>SUM(F57:F61)</f>
        <v>0</v>
      </c>
      <c r="G62" s="130">
        <f>SUM(G57:G61)</f>
        <v>9943.69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22120676.620000001</v>
      </c>
      <c r="D63" s="22">
        <f>D56+D62</f>
        <v>400657.91999999998</v>
      </c>
      <c r="E63" s="22">
        <f>E56+E62</f>
        <v>4450</v>
      </c>
      <c r="F63" s="22">
        <f>F56+F62</f>
        <v>0</v>
      </c>
      <c r="G63" s="22">
        <f>G56+G62</f>
        <v>9943.69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3914997.29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3984376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228562.88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8127936.1699999999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330172.46000000002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230849.3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8104.71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561021.76</v>
      </c>
      <c r="D78" s="130">
        <f>SUM(D72:D77)</f>
        <v>8104.71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2365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8688957.9299999997</v>
      </c>
      <c r="D81" s="130">
        <f>SUM(D79:D80)+D78+D70</f>
        <v>8104.71</v>
      </c>
      <c r="E81" s="130">
        <f>SUM(E79:E80)+E78+E70</f>
        <v>2365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206792</v>
      </c>
      <c r="D88" s="95">
        <f>SUM('DOE25'!G153:G161)</f>
        <v>206066.53</v>
      </c>
      <c r="E88" s="95">
        <f>SUM('DOE25'!H153:H161)</f>
        <v>454176.66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1316.86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206792</v>
      </c>
      <c r="D91" s="131">
        <f>SUM(D85:D90)</f>
        <v>206066.53</v>
      </c>
      <c r="E91" s="131">
        <f>SUM(E85:E90)</f>
        <v>455493.51999999996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135500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135500</v>
      </c>
    </row>
    <row r="104" spans="1:7" ht="12.75" thickTop="1" thickBot="1" x14ac:dyDescent="0.25">
      <c r="A104" s="33" t="s">
        <v>764</v>
      </c>
      <c r="C104" s="86">
        <f>C63+C81+C91+C103</f>
        <v>31016426.550000001</v>
      </c>
      <c r="D104" s="86">
        <f>D63+D81+D91+D103</f>
        <v>614829.16</v>
      </c>
      <c r="E104" s="86">
        <f>E63+E81+E91+E103</f>
        <v>462308.51999999996</v>
      </c>
      <c r="F104" s="86">
        <f>F63+F81+F91+F103</f>
        <v>0</v>
      </c>
      <c r="G104" s="86">
        <f>G63+G81+G103</f>
        <v>145443.69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14427697.469999999</v>
      </c>
      <c r="D109" s="24" t="s">
        <v>288</v>
      </c>
      <c r="E109" s="95">
        <f>('DOE25'!L276)+('DOE25'!L295)+('DOE25'!L314)</f>
        <v>116515.55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6259202.7699999996</v>
      </c>
      <c r="D110" s="24" t="s">
        <v>288</v>
      </c>
      <c r="E110" s="95">
        <f>('DOE25'!L277)+('DOE25'!L296)+('DOE25'!L315)</f>
        <v>245867.65000000002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117585.75000000001</v>
      </c>
      <c r="D112" s="24" t="s">
        <v>288</v>
      </c>
      <c r="E112" s="95">
        <f>+('DOE25'!L279)+('DOE25'!L298)+('DOE25'!L317)</f>
        <v>6815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20804485.989999998</v>
      </c>
      <c r="D115" s="86">
        <f>SUM(D109:D114)</f>
        <v>0</v>
      </c>
      <c r="E115" s="86">
        <f>SUM(E109:E114)</f>
        <v>369198.2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1799753.35</v>
      </c>
      <c r="D118" s="24" t="s">
        <v>288</v>
      </c>
      <c r="E118" s="95">
        <f>+('DOE25'!L281)+('DOE25'!L300)+('DOE25'!L319)</f>
        <v>30000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511349.96</v>
      </c>
      <c r="D119" s="24" t="s">
        <v>288</v>
      </c>
      <c r="E119" s="95">
        <f>+('DOE25'!L282)+('DOE25'!L301)+('DOE25'!L320)</f>
        <v>37405.19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792187.58000000007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1197225.75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8771.27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1901495.1</v>
      </c>
      <c r="D123" s="24" t="s">
        <v>288</v>
      </c>
      <c r="E123" s="95">
        <f>+('DOE25'!L286)+('DOE25'!L305)+('DOE25'!L324)</f>
        <v>15617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1584645.63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342541.89</v>
      </c>
      <c r="D125" s="24" t="s">
        <v>288</v>
      </c>
      <c r="E125" s="95">
        <f>+('DOE25'!L288)+('DOE25'!L307)+('DOE25'!L326)</f>
        <v>1316.8600000000001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613979.78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8129199.2599999998</v>
      </c>
      <c r="D128" s="86">
        <f>SUM(D118:D127)</f>
        <v>613979.78</v>
      </c>
      <c r="E128" s="86">
        <f>SUM(E118:E127)</f>
        <v>93110.32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13164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1035000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335375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99790.21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45653.48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-9943.6900000000023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45892.32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1564931.32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30498616.57</v>
      </c>
      <c r="D145" s="86">
        <f>(D115+D128+D144)</f>
        <v>613979.78</v>
      </c>
      <c r="E145" s="86">
        <f>(E115+E128+E144)</f>
        <v>462308.52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05/02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30732213.059999999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4.51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7225000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7225000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1370375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1370375</v>
      </c>
    </row>
    <row r="159" spans="1:9" x14ac:dyDescent="0.2">
      <c r="A159" s="22" t="s">
        <v>35</v>
      </c>
      <c r="B159" s="137">
        <f>'DOE25'!F498</f>
        <v>6190000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6190000</v>
      </c>
    </row>
    <row r="160" spans="1:9" x14ac:dyDescent="0.2">
      <c r="A160" s="22" t="s">
        <v>36</v>
      </c>
      <c r="B160" s="137">
        <f>'DOE25'!F499</f>
        <v>927500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927500</v>
      </c>
    </row>
    <row r="161" spans="1:7" x14ac:dyDescent="0.2">
      <c r="A161" s="22" t="s">
        <v>37</v>
      </c>
      <c r="B161" s="137">
        <f>'DOE25'!F500</f>
        <v>7117500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7117500</v>
      </c>
    </row>
    <row r="162" spans="1:7" x14ac:dyDescent="0.2">
      <c r="A162" s="22" t="s">
        <v>38</v>
      </c>
      <c r="B162" s="137">
        <f>'DOE25'!F501</f>
        <v>1035000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1035000</v>
      </c>
    </row>
    <row r="163" spans="1:7" x14ac:dyDescent="0.2">
      <c r="A163" s="22" t="s">
        <v>39</v>
      </c>
      <c r="B163" s="137">
        <f>'DOE25'!F502</f>
        <v>283625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283625</v>
      </c>
    </row>
    <row r="164" spans="1:7" x14ac:dyDescent="0.2">
      <c r="A164" s="22" t="s">
        <v>246</v>
      </c>
      <c r="B164" s="137">
        <f>'DOE25'!F503</f>
        <v>1318625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1318625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Hooksett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13933</v>
      </c>
    </row>
    <row r="5" spans="1:4" x14ac:dyDescent="0.2">
      <c r="B5" t="s">
        <v>703</v>
      </c>
      <c r="C5" s="179">
        <f>IF('DOE25'!G665+'DOE25'!G670=0,0,ROUND('DOE25'!G672,0))</f>
        <v>13863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14369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14544213</v>
      </c>
      <c r="D10" s="182">
        <f>ROUND((C10/$C$28)*100,1)</f>
        <v>48.5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6505070</v>
      </c>
      <c r="D11" s="182">
        <f>ROUND((C11/$C$28)*100,1)</f>
        <v>21.7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124401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1829753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548755</v>
      </c>
      <c r="D16" s="182">
        <f t="shared" si="0"/>
        <v>1.8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1136046</v>
      </c>
      <c r="D17" s="182">
        <f t="shared" si="0"/>
        <v>3.8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1197226</v>
      </c>
      <c r="D18" s="182">
        <f t="shared" si="0"/>
        <v>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8771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1917112</v>
      </c>
      <c r="D20" s="182">
        <f t="shared" si="0"/>
        <v>6.4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1584646</v>
      </c>
      <c r="D21" s="182">
        <f t="shared" si="0"/>
        <v>5.3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335375</v>
      </c>
      <c r="D25" s="182">
        <f t="shared" si="0"/>
        <v>1.1000000000000001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45892.32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213322.08000000002</v>
      </c>
      <c r="D27" s="182">
        <f t="shared" si="0"/>
        <v>0.7</v>
      </c>
    </row>
    <row r="28" spans="1:4" x14ac:dyDescent="0.2">
      <c r="B28" s="187" t="s">
        <v>722</v>
      </c>
      <c r="C28" s="180">
        <f>SUM(C10:C27)</f>
        <v>29990582.399999999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13164</v>
      </c>
    </row>
    <row r="30" spans="1:4" x14ac:dyDescent="0.2">
      <c r="B30" s="187" t="s">
        <v>728</v>
      </c>
      <c r="C30" s="180">
        <f>SUM(C28:C29)</f>
        <v>30003746.399999999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1035000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22027423</v>
      </c>
      <c r="D35" s="182">
        <f t="shared" ref="D35:D40" si="1">ROUND((C35/$C$41)*100,1)</f>
        <v>69.5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107647.30999999866</v>
      </c>
      <c r="D36" s="182">
        <f t="shared" si="1"/>
        <v>0.3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7899373</v>
      </c>
      <c r="D37" s="182">
        <f t="shared" si="1"/>
        <v>24.9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800054</v>
      </c>
      <c r="D38" s="182">
        <f t="shared" si="1"/>
        <v>2.5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868352</v>
      </c>
      <c r="D39" s="182">
        <f t="shared" si="1"/>
        <v>2.7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31702849.309999999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Hooksett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2017-09-29T19:42:19Z</cp:lastPrinted>
  <dcterms:created xsi:type="dcterms:W3CDTF">1997-12-04T19:04:30Z</dcterms:created>
  <dcterms:modified xsi:type="dcterms:W3CDTF">2017-11-29T17:30:21Z</dcterms:modified>
</cp:coreProperties>
</file>