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6215" windowHeight="5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0" i="12" l="1"/>
  <c r="B20" i="12"/>
  <c r="C11" i="12"/>
  <c r="B11" i="12"/>
  <c r="F244" i="1" l="1"/>
  <c r="G244" i="1"/>
  <c r="H208" i="1"/>
  <c r="I208" i="1"/>
  <c r="D11" i="13" l="1"/>
  <c r="G613" i="1"/>
  <c r="G612" i="1"/>
  <c r="G611" i="1"/>
  <c r="F613" i="1"/>
  <c r="F612" i="1"/>
  <c r="F611" i="1"/>
  <c r="J604" i="1"/>
  <c r="I604" i="1"/>
  <c r="H604" i="1"/>
  <c r="J528" i="1"/>
  <c r="J527" i="1"/>
  <c r="J526" i="1"/>
  <c r="I526" i="1"/>
  <c r="H528" i="1"/>
  <c r="H527" i="1"/>
  <c r="H526" i="1"/>
  <c r="G528" i="1"/>
  <c r="G527" i="1"/>
  <c r="F528" i="1"/>
  <c r="F527" i="1"/>
  <c r="F526" i="1"/>
  <c r="I528" i="1"/>
  <c r="I527" i="1"/>
  <c r="H472" i="1" l="1"/>
  <c r="H282" i="1"/>
  <c r="F276" i="1"/>
  <c r="I320" i="1"/>
  <c r="I301" i="1"/>
  <c r="I282" i="1"/>
  <c r="K314" i="1"/>
  <c r="I314" i="1"/>
  <c r="J276" i="1"/>
  <c r="I276" i="1"/>
  <c r="G276" i="1"/>
  <c r="H320" i="1"/>
  <c r="H301" i="1"/>
  <c r="J233" i="1" l="1"/>
  <c r="I233" i="1"/>
  <c r="H233" i="1"/>
  <c r="G233" i="1"/>
  <c r="F233" i="1"/>
  <c r="J197" i="1"/>
  <c r="I197" i="1"/>
  <c r="H197" i="1"/>
  <c r="G197" i="1"/>
  <c r="F197" i="1"/>
  <c r="K244" i="1"/>
  <c r="I244" i="1"/>
  <c r="K208" i="1"/>
  <c r="J243" i="1"/>
  <c r="I243" i="1"/>
  <c r="H243" i="1"/>
  <c r="G243" i="1"/>
  <c r="F243" i="1"/>
  <c r="J207" i="1"/>
  <c r="I207" i="1"/>
  <c r="H207" i="1"/>
  <c r="G207" i="1"/>
  <c r="F207" i="1"/>
  <c r="H239" i="1"/>
  <c r="K239" i="1"/>
  <c r="J239" i="1"/>
  <c r="I239" i="1"/>
  <c r="G239" i="1"/>
  <c r="F239" i="1"/>
  <c r="K203" i="1"/>
  <c r="J203" i="1"/>
  <c r="I203" i="1"/>
  <c r="H203" i="1"/>
  <c r="G203" i="1"/>
  <c r="F203" i="1"/>
  <c r="J238" i="1"/>
  <c r="I238" i="1"/>
  <c r="G238" i="1"/>
  <c r="F238" i="1"/>
  <c r="J202" i="1"/>
  <c r="I202" i="1"/>
  <c r="H202" i="1"/>
  <c r="G202" i="1"/>
  <c r="F202" i="1"/>
  <c r="J234" i="1"/>
  <c r="I234" i="1"/>
  <c r="G234" i="1"/>
  <c r="F234" i="1"/>
  <c r="J198" i="1"/>
  <c r="I198" i="1"/>
  <c r="G198" i="1"/>
  <c r="F198" i="1"/>
  <c r="H368" i="1" l="1"/>
  <c r="H367" i="1"/>
  <c r="G368" i="1"/>
  <c r="G367" i="1"/>
  <c r="F368" i="1"/>
  <c r="F367" i="1"/>
  <c r="F665" i="1"/>
  <c r="J216" i="1"/>
  <c r="F468" i="1"/>
  <c r="F205" i="1"/>
  <c r="J225" i="1" l="1"/>
  <c r="I225" i="1"/>
  <c r="H225" i="1"/>
  <c r="G225" i="1"/>
  <c r="F225" i="1"/>
  <c r="K221" i="1"/>
  <c r="J221" i="1"/>
  <c r="I221" i="1"/>
  <c r="H221" i="1"/>
  <c r="G221" i="1"/>
  <c r="F221" i="1"/>
  <c r="I220" i="1"/>
  <c r="G220" i="1"/>
  <c r="F220" i="1"/>
  <c r="I216" i="1"/>
  <c r="H216" i="1"/>
  <c r="G216" i="1"/>
  <c r="F216" i="1"/>
  <c r="J215" i="1"/>
  <c r="I215" i="1"/>
  <c r="H215" i="1"/>
  <c r="G215" i="1"/>
  <c r="F215" i="1"/>
  <c r="K197" i="1"/>
  <c r="K226" i="1" l="1"/>
  <c r="I226" i="1"/>
  <c r="G226" i="1"/>
  <c r="F226" i="1"/>
  <c r="H514" i="1" l="1"/>
  <c r="G507" i="1"/>
  <c r="I507" i="1" s="1"/>
  <c r="F499" i="1" l="1"/>
  <c r="F498" i="1"/>
  <c r="K360" i="1"/>
  <c r="K359" i="1"/>
  <c r="K358" i="1"/>
  <c r="I360" i="1"/>
  <c r="I359" i="1"/>
  <c r="I358" i="1"/>
  <c r="H360" i="1"/>
  <c r="H359" i="1"/>
  <c r="H358" i="1"/>
  <c r="G360" i="1"/>
  <c r="G359" i="1"/>
  <c r="G358" i="1"/>
  <c r="F360" i="1"/>
  <c r="F359" i="1"/>
  <c r="F358" i="1"/>
  <c r="G440" i="1" l="1"/>
  <c r="H154" i="1" l="1"/>
  <c r="G132" i="1" l="1"/>
  <c r="G158" i="1"/>
  <c r="G97" i="1"/>
  <c r="F98" i="1"/>
  <c r="F181" i="1"/>
  <c r="F6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309" i="1"/>
  <c r="J328" i="1"/>
  <c r="K309" i="1"/>
  <c r="K328" i="1"/>
  <c r="L276" i="1"/>
  <c r="L277" i="1"/>
  <c r="L278" i="1"/>
  <c r="E111" i="2" s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E132" i="2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G162" i="1"/>
  <c r="H147" i="1"/>
  <c r="H162" i="1"/>
  <c r="H169" i="1" s="1"/>
  <c r="I147" i="1"/>
  <c r="I162" i="1"/>
  <c r="I169" i="1" s="1"/>
  <c r="L250" i="1"/>
  <c r="L332" i="1"/>
  <c r="L254" i="1"/>
  <c r="L268" i="1"/>
  <c r="L269" i="1"/>
  <c r="C143" i="2" s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2" i="2"/>
  <c r="C113" i="2"/>
  <c r="E113" i="2"/>
  <c r="D115" i="2"/>
  <c r="F115" i="2"/>
  <c r="G115" i="2"/>
  <c r="E123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90" i="1" s="1"/>
  <c r="G211" i="1"/>
  <c r="H211" i="1"/>
  <c r="I211" i="1"/>
  <c r="J211" i="1"/>
  <c r="K211" i="1"/>
  <c r="K290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I446" i="1"/>
  <c r="G642" i="1" s="1"/>
  <c r="F452" i="1"/>
  <c r="G452" i="1"/>
  <c r="H452" i="1"/>
  <c r="H461" i="1" s="1"/>
  <c r="H641" i="1" s="1"/>
  <c r="F460" i="1"/>
  <c r="G460" i="1"/>
  <c r="G461" i="1" s="1"/>
  <c r="H640" i="1" s="1"/>
  <c r="H460" i="1"/>
  <c r="F461" i="1"/>
  <c r="F470" i="1"/>
  <c r="I470" i="1"/>
  <c r="I476" i="1" s="1"/>
  <c r="H625" i="1" s="1"/>
  <c r="H474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22" i="1"/>
  <c r="G623" i="1"/>
  <c r="G624" i="1"/>
  <c r="H627" i="1"/>
  <c r="H630" i="1"/>
  <c r="H633" i="1"/>
  <c r="H636" i="1"/>
  <c r="H639" i="1"/>
  <c r="G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D50" i="2"/>
  <c r="E78" i="2"/>
  <c r="H140" i="1"/>
  <c r="F22" i="13"/>
  <c r="C22" i="13" s="1"/>
  <c r="G36" i="2"/>
  <c r="K598" i="1" l="1"/>
  <c r="G647" i="1" s="1"/>
  <c r="J651" i="1"/>
  <c r="K545" i="1"/>
  <c r="J552" i="1"/>
  <c r="H545" i="1"/>
  <c r="K550" i="1"/>
  <c r="G545" i="1"/>
  <c r="E120" i="2"/>
  <c r="E119" i="2"/>
  <c r="F338" i="1"/>
  <c r="F352" i="1" s="1"/>
  <c r="L328" i="1"/>
  <c r="C125" i="2"/>
  <c r="J634" i="1"/>
  <c r="C118" i="2"/>
  <c r="C16" i="10"/>
  <c r="D5" i="13"/>
  <c r="C5" i="13" s="1"/>
  <c r="G662" i="1"/>
  <c r="C123" i="2"/>
  <c r="C119" i="2"/>
  <c r="D7" i="13"/>
  <c r="C7" i="13" s="1"/>
  <c r="C11" i="10"/>
  <c r="G257" i="1"/>
  <c r="G271" i="1" s="1"/>
  <c r="C110" i="2"/>
  <c r="I257" i="1"/>
  <c r="I271" i="1" s="1"/>
  <c r="I290" i="1" s="1"/>
  <c r="I338" i="1" s="1"/>
  <c r="I352" i="1" s="1"/>
  <c r="H662" i="1"/>
  <c r="F257" i="1"/>
  <c r="F271" i="1" s="1"/>
  <c r="C109" i="2"/>
  <c r="H257" i="1"/>
  <c r="H271" i="1" s="1"/>
  <c r="J641" i="1"/>
  <c r="J639" i="1"/>
  <c r="C12" i="10"/>
  <c r="G552" i="1"/>
  <c r="H112" i="1"/>
  <c r="L534" i="1"/>
  <c r="I460" i="1"/>
  <c r="I452" i="1"/>
  <c r="I461" i="1" s="1"/>
  <c r="H642" i="1" s="1"/>
  <c r="J642" i="1" s="1"/>
  <c r="L433" i="1"/>
  <c r="H192" i="1"/>
  <c r="K549" i="1"/>
  <c r="F130" i="2"/>
  <c r="F144" i="2" s="1"/>
  <c r="F145" i="2" s="1"/>
  <c r="C20" i="10"/>
  <c r="C18" i="10"/>
  <c r="L247" i="1"/>
  <c r="H660" i="1" s="1"/>
  <c r="L229" i="1"/>
  <c r="C17" i="10"/>
  <c r="J655" i="1"/>
  <c r="K500" i="1"/>
  <c r="L427" i="1"/>
  <c r="J257" i="1"/>
  <c r="J271" i="1" s="1"/>
  <c r="G164" i="2"/>
  <c r="G161" i="2"/>
  <c r="G156" i="2"/>
  <c r="C114" i="2"/>
  <c r="D91" i="2"/>
  <c r="D81" i="2"/>
  <c r="D62" i="2"/>
  <c r="D63" i="2" s="1"/>
  <c r="D18" i="2"/>
  <c r="L270" i="1"/>
  <c r="H552" i="1"/>
  <c r="F552" i="1"/>
  <c r="A13" i="12"/>
  <c r="A40" i="12"/>
  <c r="C25" i="10"/>
  <c r="E114" i="2"/>
  <c r="L309" i="1"/>
  <c r="E122" i="2"/>
  <c r="E118" i="2"/>
  <c r="C10" i="10"/>
  <c r="I545" i="1"/>
  <c r="G408" i="1"/>
  <c r="H645" i="1" s="1"/>
  <c r="J645" i="1" s="1"/>
  <c r="C21" i="10"/>
  <c r="F571" i="1"/>
  <c r="L565" i="1"/>
  <c r="L571" i="1" s="1"/>
  <c r="H571" i="1"/>
  <c r="J545" i="1"/>
  <c r="L256" i="1"/>
  <c r="K257" i="1"/>
  <c r="K271" i="1" s="1"/>
  <c r="L211" i="1"/>
  <c r="C26" i="10"/>
  <c r="E125" i="2"/>
  <c r="E121" i="2"/>
  <c r="E112" i="2"/>
  <c r="D12" i="13"/>
  <c r="C12" i="13" s="1"/>
  <c r="E8" i="13"/>
  <c r="C8" i="13" s="1"/>
  <c r="H290" i="1"/>
  <c r="H338" i="1" s="1"/>
  <c r="H352" i="1" s="1"/>
  <c r="G157" i="2"/>
  <c r="E103" i="2"/>
  <c r="C78" i="2"/>
  <c r="C81" i="2" s="1"/>
  <c r="F78" i="2"/>
  <c r="F81" i="2" s="1"/>
  <c r="D31" i="2"/>
  <c r="D51" i="2" s="1"/>
  <c r="E31" i="2"/>
  <c r="D19" i="13"/>
  <c r="C19" i="13" s="1"/>
  <c r="D17" i="13"/>
  <c r="C17" i="13" s="1"/>
  <c r="D14" i="13"/>
  <c r="C14" i="13" s="1"/>
  <c r="E16" i="13"/>
  <c r="C16" i="13" s="1"/>
  <c r="E62" i="2"/>
  <c r="E63" i="2" s="1"/>
  <c r="K338" i="1"/>
  <c r="K352" i="1" s="1"/>
  <c r="G290" i="1"/>
  <c r="G338" i="1" s="1"/>
  <c r="G352" i="1" s="1"/>
  <c r="J290" i="1"/>
  <c r="J338" i="1" s="1"/>
  <c r="J352" i="1" s="1"/>
  <c r="F18" i="2"/>
  <c r="G661" i="1"/>
  <c r="L362" i="1"/>
  <c r="H661" i="1"/>
  <c r="D29" i="13"/>
  <c r="C29" i="13" s="1"/>
  <c r="D127" i="2"/>
  <c r="D128" i="2" s="1"/>
  <c r="D145" i="2" s="1"/>
  <c r="J640" i="1"/>
  <c r="L401" i="1"/>
  <c r="C139" i="2" s="1"/>
  <c r="H408" i="1"/>
  <c r="H644" i="1" s="1"/>
  <c r="J644" i="1" s="1"/>
  <c r="J643" i="1"/>
  <c r="L393" i="1"/>
  <c r="C138" i="2" s="1"/>
  <c r="C91" i="2"/>
  <c r="C70" i="2"/>
  <c r="F112" i="1"/>
  <c r="H52" i="1"/>
  <c r="H619" i="1" s="1"/>
  <c r="J617" i="1"/>
  <c r="C18" i="2"/>
  <c r="L290" i="1"/>
  <c r="C62" i="2"/>
  <c r="F661" i="1"/>
  <c r="C15" i="10"/>
  <c r="L382" i="1"/>
  <c r="G636" i="1" s="1"/>
  <c r="J636" i="1" s="1"/>
  <c r="C19" i="10"/>
  <c r="C35" i="10"/>
  <c r="C29" i="10"/>
  <c r="D6" i="13"/>
  <c r="C6" i="13" s="1"/>
  <c r="D15" i="13"/>
  <c r="C15" i="13" s="1"/>
  <c r="G649" i="1"/>
  <c r="J649" i="1" s="1"/>
  <c r="L544" i="1"/>
  <c r="L524" i="1"/>
  <c r="C124" i="2"/>
  <c r="C122" i="2"/>
  <c r="C120" i="2"/>
  <c r="C111" i="2"/>
  <c r="C56" i="2"/>
  <c r="F662" i="1"/>
  <c r="I662" i="1" s="1"/>
  <c r="C13" i="10"/>
  <c r="L539" i="1"/>
  <c r="K503" i="1"/>
  <c r="E109" i="2"/>
  <c r="K551" i="1"/>
  <c r="H25" i="13"/>
  <c r="F169" i="1"/>
  <c r="E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J650" i="1"/>
  <c r="L407" i="1"/>
  <c r="C140" i="2" s="1"/>
  <c r="I192" i="1"/>
  <c r="E91" i="2"/>
  <c r="J654" i="1"/>
  <c r="J653" i="1"/>
  <c r="G21" i="2"/>
  <c r="G31" i="2" s="1"/>
  <c r="J32" i="1"/>
  <c r="L434" i="1"/>
  <c r="J434" i="1"/>
  <c r="F434" i="1"/>
  <c r="K434" i="1"/>
  <c r="G134" i="2" s="1"/>
  <c r="G144" i="2" s="1"/>
  <c r="G145" i="2" s="1"/>
  <c r="F31" i="13"/>
  <c r="J193" i="1"/>
  <c r="G646" i="1" s="1"/>
  <c r="H193" i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33" i="13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G635" i="1"/>
  <c r="G629" i="1" l="1"/>
  <c r="H468" i="1"/>
  <c r="K552" i="1"/>
  <c r="E128" i="2"/>
  <c r="E115" i="2"/>
  <c r="G660" i="1"/>
  <c r="G664" i="1" s="1"/>
  <c r="G667" i="1" s="1"/>
  <c r="C115" i="2"/>
  <c r="F660" i="1"/>
  <c r="L257" i="1"/>
  <c r="L271" i="1" s="1"/>
  <c r="G638" i="1"/>
  <c r="J472" i="1"/>
  <c r="E33" i="13"/>
  <c r="D35" i="13" s="1"/>
  <c r="C27" i="10"/>
  <c r="C28" i="10" s="1"/>
  <c r="D24" i="10" s="1"/>
  <c r="G472" i="1"/>
  <c r="C141" i="2"/>
  <c r="C144" i="2" s="1"/>
  <c r="H664" i="1"/>
  <c r="H667" i="1" s="1"/>
  <c r="D104" i="2"/>
  <c r="G51" i="2"/>
  <c r="G104" i="2"/>
  <c r="F104" i="2"/>
  <c r="C128" i="2"/>
  <c r="H648" i="1"/>
  <c r="J648" i="1" s="1"/>
  <c r="D31" i="13"/>
  <c r="C31" i="13" s="1"/>
  <c r="I661" i="1"/>
  <c r="E104" i="2"/>
  <c r="C36" i="10"/>
  <c r="F193" i="1"/>
  <c r="G627" i="1" s="1"/>
  <c r="J627" i="1" s="1"/>
  <c r="L338" i="1"/>
  <c r="L352" i="1" s="1"/>
  <c r="G633" i="1" s="1"/>
  <c r="J633" i="1" s="1"/>
  <c r="C25" i="13"/>
  <c r="H33" i="13"/>
  <c r="L545" i="1"/>
  <c r="L408" i="1"/>
  <c r="J468" i="1" s="1"/>
  <c r="C63" i="2"/>
  <c r="C104" i="2" s="1"/>
  <c r="C51" i="2"/>
  <c r="G631" i="1"/>
  <c r="G193" i="1"/>
  <c r="G626" i="1"/>
  <c r="J52" i="1"/>
  <c r="H621" i="1" s="1"/>
  <c r="J621" i="1" s="1"/>
  <c r="C38" i="10"/>
  <c r="H629" i="1" l="1"/>
  <c r="J629" i="1" s="1"/>
  <c r="H470" i="1"/>
  <c r="H476" i="1" s="1"/>
  <c r="H624" i="1" s="1"/>
  <c r="J624" i="1" s="1"/>
  <c r="E145" i="2"/>
  <c r="G672" i="1"/>
  <c r="C5" i="10" s="1"/>
  <c r="I660" i="1"/>
  <c r="I664" i="1" s="1"/>
  <c r="I672" i="1" s="1"/>
  <c r="C7" i="10" s="1"/>
  <c r="G632" i="1"/>
  <c r="F472" i="1"/>
  <c r="F664" i="1"/>
  <c r="F672" i="1" s="1"/>
  <c r="C4" i="10" s="1"/>
  <c r="C145" i="2"/>
  <c r="D23" i="10"/>
  <c r="D10" i="10"/>
  <c r="D26" i="10"/>
  <c r="C30" i="10"/>
  <c r="D16" i="10"/>
  <c r="D15" i="10"/>
  <c r="D19" i="10"/>
  <c r="D20" i="10"/>
  <c r="D25" i="10"/>
  <c r="D13" i="10"/>
  <c r="D11" i="10"/>
  <c r="D21" i="10"/>
  <c r="D22" i="10"/>
  <c r="D27" i="10"/>
  <c r="D18" i="10"/>
  <c r="D17" i="10"/>
  <c r="D12" i="10"/>
  <c r="G628" i="1"/>
  <c r="G468" i="1"/>
  <c r="D33" i="13"/>
  <c r="D36" i="13" s="1"/>
  <c r="H637" i="1"/>
  <c r="J470" i="1"/>
  <c r="H631" i="1"/>
  <c r="J631" i="1" s="1"/>
  <c r="H672" i="1"/>
  <c r="C6" i="10" s="1"/>
  <c r="G474" i="1"/>
  <c r="H635" i="1"/>
  <c r="J635" i="1" s="1"/>
  <c r="H638" i="1"/>
  <c r="J474" i="1"/>
  <c r="J638" i="1"/>
  <c r="G637" i="1"/>
  <c r="H646" i="1"/>
  <c r="J646" i="1" s="1"/>
  <c r="C41" i="10"/>
  <c r="D38" i="10" s="1"/>
  <c r="F667" i="1" l="1"/>
  <c r="H632" i="1"/>
  <c r="J632" i="1" s="1"/>
  <c r="F474" i="1"/>
  <c r="F476" i="1" s="1"/>
  <c r="H622" i="1" s="1"/>
  <c r="J622" i="1" s="1"/>
  <c r="D28" i="10"/>
  <c r="G470" i="1"/>
  <c r="G476" i="1" s="1"/>
  <c r="H623" i="1" s="1"/>
  <c r="J623" i="1" s="1"/>
  <c r="H628" i="1"/>
  <c r="J628" i="1" s="1"/>
  <c r="J637" i="1"/>
  <c r="J476" i="1"/>
  <c r="H626" i="1" s="1"/>
  <c r="J626" i="1" s="1"/>
  <c r="I667" i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<sst xmlns="http://schemas.openxmlformats.org/spreadsheetml/2006/main" count="3958" uniqueCount="916">
  <si>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</si>
  <si>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</si>
  <si>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</si>
  <si>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</si>
  <si>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</si>
  <si>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</si>
  <si>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</si>
  <si>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</si>
  <si>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</si>
  <si>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</si>
  <si>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</si>
  <si>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</si>
  <si>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</si>
  <si>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</si>
  <si>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</si>
  <si>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</si>
  <si>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</si>
  <si>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</si>
  <si>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</si>
  <si>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</si>
  <si>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</si>
  <si>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</si>
  <si>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</si>
  <si>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</si>
  <si>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</si>
  <si>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</si>
  <si>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</si>
  <si>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</si>
  <si>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</si>
  <si>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</si>
  <si>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</si>
  <si>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</si>
  <si>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</si>
  <si>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</si>
  <si>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</si>
  <si>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</si>
  <si>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</si>
  <si>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</si>
  <si>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</si>
  <si>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</si>
  <si>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</si>
  <si>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</si>
  <si>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</si>
  <si>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</si>
  <si>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</si>
  <si>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</si>
  <si>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</si>
  <si>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</si>
  <si>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</si>
  <si>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</si>
  <si>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</si>
  <si>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</si>
  <si>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</si>
  <si>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</si>
  <si>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</si>
  <si>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</si>
  <si>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</si>
  <si>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</si>
  <si>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</si>
  <si>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</si>
  <si>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</si>
  <si>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</si>
  <si>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</si>
  <si>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</si>
  <si>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</si>
  <si>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</si>
  <si>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</si>
  <si>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</si>
  <si>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</si>
  <si>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</si>
  <si>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</si>
  <si>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</si>
  <si>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</si>
  <si>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</si>
  <si>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</si>
  <si>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</si>
  <si>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</si>
  <si>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</si>
  <si>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</si>
  <si>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</si>
  <si>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</si>
  <si>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</si>
  <si>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</si>
  <si>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</si>
  <si>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</si>
  <si>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</si>
  <si>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</si>
  <si>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</si>
  <si>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</si>
  <si>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</si>
  <si>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</si>
  <si>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</si>
  <si>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</si>
  <si>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</si>
  <si>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</si>
  <si>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</si>
  <si>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</si>
  <si>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</si>
  <si>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</si>
  <si>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</si>
  <si>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</si>
  <si>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</si>
  <si>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</si>
  <si>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</si>
  <si>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</si>
  <si>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</si>
  <si>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</si>
  <si>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</si>
  <si>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</si>
  <si>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</si>
  <si>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</si>
  <si>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</si>
  <si>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</si>
  <si>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</si>
  <si>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</si>
  <si>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</si>
  <si>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</si>
  <si>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</si>
  <si>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</si>
  <si>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</si>
  <si>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</si>
  <si>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</si>
  <si>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</si>
  <si>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</si>
  <si>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</si>
  <si>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</si>
  <si>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</si>
  <si>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</si>
  <si>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</si>
  <si>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</si>
  <si>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</si>
  <si>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</si>
  <si>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</si>
  <si>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</si>
  <si>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</si>
  <si>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</si>
  <si>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</si>
  <si>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</si>
  <si>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</si>
  <si>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</si>
  <si>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</si>
  <si>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</si>
  <si>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</si>
  <si>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</si>
  <si>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</si>
  <si>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</si>
  <si>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</si>
  <si>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</si>
  <si>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</si>
  <si>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</si>
  <si>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</si>
  <si>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</si>
  <si>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</si>
  <si>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</si>
  <si>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</si>
  <si>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</si>
  <si>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</si>
  <si>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</si>
  <si>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</si>
  <si>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</si>
  <si>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</si>
  <si>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</si>
  <si>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</si>
  <si>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</si>
  <si>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</si>
  <si>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</si>
  <si>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</si>
  <si>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</si>
  <si>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</si>
  <si>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</si>
  <si>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</si>
  <si>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</si>
  <si>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</si>
  <si>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</si>
  <si>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</si>
  <si>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</si>
  <si>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</si>
  <si>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</si>
  <si>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</si>
  <si>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</si>
  <si>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</si>
  <si>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</si>
  <si>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</si>
  <si>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</si>
  <si>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</si>
  <si>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</si>
  <si>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</si>
  <si>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</si>
  <si>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</si>
  <si>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</si>
  <si>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</si>
  <si>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</si>
  <si>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</si>
  <si>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</si>
  <si>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</si>
  <si>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</si>
  <si>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</si>
  <si>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</si>
  <si>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</si>
  <si>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</si>
  <si>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</si>
  <si>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</si>
  <si>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</si>
  <si>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</si>
  <si>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</si>
  <si>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</si>
  <si>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</si>
  <si>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</si>
  <si>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</si>
  <si>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</si>
  <si>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</si>
  <si>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</si>
  <si>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</si>
  <si>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</si>
  <si>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</si>
  <si>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</si>
  <si>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</si>
  <si>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</si>
  <si>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</si>
  <si>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</si>
  <si>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</si>
  <si>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</si>
  <si>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</si>
  <si>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</si>
  <si>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</si>
  <si>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</si>
  <si>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</si>
  <si>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</si>
  <si>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</si>
  <si>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</si>
  <si>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</si>
  <si>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</si>
  <si>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</si>
  <si>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</si>
  <si>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</si>
  <si>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</si>
  <si>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</si>
  <si>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</si>
  <si>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</si>
  <si>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</si>
  <si>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</si>
  <si>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</si>
  <si>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</si>
  <si>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</si>
  <si>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</si>
  <si>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</si>
  <si>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</si>
  <si>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</si>
  <si>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</si>
  <si>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</si>
  <si>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</si>
  <si>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</si>
  <si>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</si>
  <si>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</si>
  <si>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</si>
  <si>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</si>
  <si>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</si>
  <si>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</si>
  <si>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</si>
  <si>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</si>
  <si>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</si>
  <si>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</si>
  <si>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</si>
  <si>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</si>
  <si>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</si>
  <si>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</si>
  <si>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</si>
  <si>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</si>
  <si>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</si>
  <si>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</si>
  <si>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</si>
  <si>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</si>
  <si>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</si>
  <si>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</si>
  <si>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</si>
  <si>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</si>
  <si>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</si>
  <si>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</si>
  <si>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</si>
  <si>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</si>
  <si>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</si>
  <si>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</si>
  <si>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</si>
  <si>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</si>
  <si>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</si>
  <si>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</si>
  <si>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</si>
  <si>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</si>
  <si>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</si>
  <si>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</si>
  <si>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</si>
  <si>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</si>
  <si>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</si>
  <si>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</si>
  <si>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</si>
  <si>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</si>
  <si>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</si>
  <si>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</si>
  <si>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</si>
  <si>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</si>
  <si>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</si>
  <si>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</si>
  <si>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</si>
  <si>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</si>
  <si>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</si>
  <si>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</si>
  <si>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</si>
  <si>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</si>
  <si>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</si>
  <si>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</si>
  <si>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</si>
  <si>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</si>
  <si>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</si>
  <si>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</si>
  <si>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</si>
  <si>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</si>
  <si>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</si>
  <si>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</si>
  <si>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</si>
  <si>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</si>
  <si>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</si>
  <si>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</si>
  <si>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</si>
  <si>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</si>
  <si>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</si>
  <si>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</si>
  <si>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</si>
  <si>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</si>
  <si>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</si>
  <si>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</si>
  <si>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</si>
  <si>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</si>
  <si>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</si>
  <si>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</si>
  <si>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</si>
  <si>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</si>
  <si>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</si>
  <si>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</si>
  <si>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</si>
  <si>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</si>
  <si>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</si>
  <si>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</si>
  <si>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</si>
  <si>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</si>
  <si>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</si>
  <si>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</si>
  <si>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</si>
  <si>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</si>
  <si>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</si>
  <si>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</si>
  <si>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</si>
  <si>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</si>
  <si>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</si>
  <si>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</si>
  <si>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</si>
  <si>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</si>
  <si>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</si>
  <si>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</si>
  <si>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</si>
  <si>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</si>
  <si>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</si>
  <si>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</si>
  <si>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</si>
  <si>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</si>
  <si>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</si>
  <si>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</si>
  <si>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</si>
  <si>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</si>
  <si>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</si>
  <si>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</si>
  <si>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</si>
  <si>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</si>
  <si>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</si>
  <si>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</si>
  <si>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</si>
  <si>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</si>
  <si>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</si>
  <si>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</si>
  <si>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</si>
  <si>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</si>
  <si>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</si>
  <si>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</si>
  <si>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</si>
  <si>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</si>
  <si>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</si>
  <si>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</si>
  <si>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</si>
  <si>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</si>
  <si>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</si>
  <si>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</si>
  <si>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</si>
  <si>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</si>
  <si>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</si>
  <si>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</si>
  <si>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</si>
  <si>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</si>
  <si>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</si>
  <si>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</si>
  <si>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</si>
  <si>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</si>
  <si>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</si>
  <si>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</si>
  <si>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</si>
  <si>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</si>
  <si>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</si>
  <si>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</si>
  <si>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</si>
  <si>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</si>
  <si>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</si>
  <si>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</si>
  <si>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</si>
  <si>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</si>
  <si>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</si>
  <si>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</si>
  <si>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</si>
  <si>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</si>
  <si>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</si>
  <si>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</si>
  <si>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</si>
  <si>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</si>
  <si>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</si>
  <si>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</si>
  <si>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</si>
  <si>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</si>
  <si>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</si>
  <si>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</si>
  <si>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</si>
  <si>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</si>
  <si>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</si>
  <si>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</si>
  <si>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</si>
  <si>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</si>
  <si>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</si>
  <si>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</si>
  <si>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</si>
  <si>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</si>
  <si>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</si>
  <si>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</si>
  <si>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</si>
  <si>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</si>
  <si>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</si>
  <si>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</si>
  <si>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</si>
  <si>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</si>
  <si>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</si>
  <si>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</si>
  <si>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</si>
  <si>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</si>
  <si>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</si>
  <si>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</si>
  <si>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</si>
  <si>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</si>
  <si>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</si>
  <si>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</si>
  <si>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</si>
  <si>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</si>
  <si>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</si>
  <si>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</si>
  <si>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</si>
  <si>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</si>
  <si>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</si>
  <si>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</si>
  <si>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</si>
  <si>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</si>
  <si>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</si>
  <si>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</si>
  <si>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</si>
  <si>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</si>
  <si>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</si>
  <si>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</si>
  <si>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</si>
  <si>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</si>
  <si>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</si>
  <si>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</si>
  <si>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</si>
  <si>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</si>
  <si>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</si>
  <si>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</si>
  <si>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</si>
  <si>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</si>
  <si>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</si>
  <si>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</si>
  <si>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</si>
  <si>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</si>
  <si>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</si>
  <si>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</si>
  <si>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</si>
  <si>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</si>
  <si>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</si>
  <si>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</si>
  <si>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</si>
  <si>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</si>
  <si>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</si>
  <si>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</si>
  <si>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</si>
  <si>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</si>
  <si>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</si>
  <si>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</si>
  <si>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</si>
  <si>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</si>
  <si>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</si>
  <si>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</si>
  <si>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</si>
  <si>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</si>
  <si>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</si>
  <si>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</si>
  <si>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</si>
  <si>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</si>
  <si>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</si>
  <si>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</si>
  <si>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</si>
  <si>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</si>
  <si>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</si>
  <si>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</si>
  <si>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</si>
  <si>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</si>
  <si>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</si>
  <si>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</si>
  <si>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</si>
  <si>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</si>
  <si>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</si>
  <si>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</si>
  <si>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</si>
  <si>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</si>
  <si>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</si>
  <si>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</si>
  <si>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</si>
  <si>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</si>
  <si>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</si>
  <si>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</si>
  <si>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</si>
  <si>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</si>
  <si>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</si>
  <si>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</si>
  <si>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</si>
  <si>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</si>
  <si>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</si>
  <si>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</si>
  <si>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</si>
  <si>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</si>
  <si>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</si>
  <si>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</si>
  <si>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</si>
  <si>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</si>
  <si>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</si>
  <si>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</si>
  <si>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</si>
  <si>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</si>
  <si>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</si>
  <si>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</si>
  <si>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</si>
  <si>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</si>
  <si>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</si>
  <si>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</si>
  <si>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</si>
  <si>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</si>
  <si>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</si>
  <si>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</si>
  <si>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</si>
  <si>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</si>
  <si>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</si>
  <si>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</si>
  <si>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</si>
  <si>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</si>
  <si>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</si>
  <si>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</si>
  <si>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</si>
  <si>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</si>
  <si>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</si>
  <si>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</si>
  <si>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</si>
  <si>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</si>
  <si>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</si>
  <si>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</si>
  <si>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</si>
  <si>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</si>
  <si>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</si>
  <si>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</si>
  <si>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</si>
  <si>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</si>
  <si>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</si>
  <si>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</si>
  <si>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</si>
  <si>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</si>
  <si>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</si>
  <si>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</si>
  <si>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</si>
  <si>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</si>
  <si>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</si>
  <si>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</si>
  <si>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</si>
  <si>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</si>
  <si>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</si>
  <si>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</si>
  <si>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</si>
  <si>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</si>
  <si>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</si>
  <si>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</si>
  <si>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</si>
  <si>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</si>
  <si>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</si>
  <si>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</si>
  <si>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</si>
  <si>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</si>
  <si>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</si>
  <si>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</si>
  <si>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</si>
  <si>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</si>
  <si>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</si>
  <si>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</si>
  <si>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</si>
  <si>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</si>
  <si>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</si>
  <si>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</si>
  <si>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</si>
  <si>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</si>
  <si>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</si>
  <si>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</si>
  <si>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</si>
  <si>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</si>
  <si>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</si>
  <si>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</si>
  <si>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</si>
  <si>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</si>
  <si>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</si>
  <si>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</si>
  <si>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</si>
  <si>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</si>
  <si>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</si>
  <si>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</si>
  <si>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</si>
  <si>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</si>
  <si>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</si>
  <si>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</si>
  <si>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</si>
  <si>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</si>
  <si>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</si>
  <si>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</si>
  <si>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</si>
  <si>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</si>
  <si>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</si>
  <si>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</si>
  <si>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</si>
  <si>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</si>
  <si>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</si>
  <si>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</si>
  <si>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</si>
  <si>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</si>
  <si>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</si>
  <si>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</si>
  <si>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</si>
  <si>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</si>
  <si>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</si>
  <si>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</si>
  <si>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</si>
  <si>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</si>
  <si>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</si>
  <si>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</si>
  <si>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</si>
  <si>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</si>
  <si>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</si>
  <si>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</si>
  <si>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</si>
  <si>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</si>
  <si>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</si>
  <si>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</si>
  <si>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</si>
  <si>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</si>
  <si>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</si>
  <si>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</si>
  <si>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</si>
  <si>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</si>
  <si>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</si>
  <si>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</si>
  <si>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</si>
  <si>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</si>
  <si>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</si>
  <si>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</si>
  <si>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</si>
  <si>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</si>
  <si>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</si>
  <si>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</si>
  <si>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</si>
  <si>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</si>
  <si>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</si>
  <si>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</si>
  <si>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</si>
  <si>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</si>
  <si>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</si>
  <si>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</si>
  <si>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</si>
  <si>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</si>
  <si>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</si>
  <si>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</si>
  <si>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</si>
  <si>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</si>
  <si>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</si>
  <si>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</si>
  <si>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</si>
  <si>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</si>
  <si>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</si>
  <si>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</si>
  <si>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</si>
  <si>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</si>
  <si>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</si>
  <si>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</si>
  <si>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</si>
  <si>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</si>
  <si>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</si>
  <si>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</si>
  <si>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</si>
  <si>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</si>
  <si>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</si>
  <si>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</si>
  <si>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</si>
  <si>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</si>
  <si>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</si>
  <si>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</si>
  <si>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</si>
  <si>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</si>
  <si>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</si>
  <si>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</si>
  <si>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</si>
  <si>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</si>
  <si>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</si>
  <si>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</si>
  <si>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</si>
  <si>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</si>
  <si>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</si>
  <si>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</si>
  <si>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</si>
  <si>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</si>
  <si>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</si>
  <si>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</si>
  <si>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</si>
  <si>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</si>
  <si>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</si>
  <si>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</si>
  <si>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</si>
  <si>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</si>
  <si>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</si>
  <si>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</si>
  <si>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</si>
  <si>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</si>
  <si>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</si>
  <si>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</si>
  <si>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</si>
  <si>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</si>
  <si>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</si>
  <si>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</si>
  <si>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</si>
  <si>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</si>
  <si>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</si>
  <si>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</si>
  <si>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</si>
  <si>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</si>
  <si>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</si>
  <si>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</si>
  <si>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</si>
  <si>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</si>
  <si>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</si>
  <si>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</si>
  <si>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</si>
  <si>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</si>
  <si>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</si>
  <si>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</si>
  <si>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</si>
  <si>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</si>
  <si>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</si>
  <si>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</si>
  <si>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</si>
  <si>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</si>
  <si>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</si>
  <si>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</si>
  <si>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</si>
  <si>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</si>
  <si>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</si>
  <si>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</si>
  <si>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</si>
  <si>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</si>
  <si>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</si>
  <si>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</si>
  <si>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</si>
  <si>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</si>
  <si>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</si>
  <si>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</si>
  <si>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</si>
  <si>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</si>
  <si>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</si>
  <si>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</si>
  <si>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</si>
  <si>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</si>
  <si>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</si>
  <si>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</si>
  <si>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</si>
  <si>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</si>
  <si>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</si>
  <si>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</si>
  <si>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</si>
  <si>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</si>
  <si>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</si>
  <si>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</si>
  <si>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</si>
  <si>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</si>
  <si>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</si>
  <si>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</si>
  <si>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</si>
  <si>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</si>
  <si>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</si>
  <si>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</si>
  <si>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</si>
  <si>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</si>
  <si>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</si>
  <si>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</si>
  <si>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</si>
  <si>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</si>
  <si>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</si>
  <si>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</si>
  <si>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</si>
  <si>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</si>
  <si>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</si>
  <si>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</si>
  <si>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</si>
  <si>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</si>
  <si>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</si>
  <si>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</si>
  <si>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</si>
  <si>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</si>
  <si>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</si>
  <si>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</si>
  <si>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</si>
  <si>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</si>
  <si>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</si>
  <si>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</si>
  <si>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</si>
  <si>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</si>
  <si>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</si>
  <si>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</si>
  <si>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</si>
  <si>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</si>
  <si>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</si>
  <si>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</si>
  <si>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</si>
  <si>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</si>
  <si>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</si>
  <si>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</si>
  <si>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</si>
  <si>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</si>
  <si>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</si>
  <si>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</si>
  <si>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</si>
  <si>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</si>
  <si>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</si>
  <si>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</si>
  <si>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</si>
  <si>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</si>
  <si>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</si>
  <si>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</si>
  <si>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</si>
  <si>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</si>
  <si>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</si>
  <si>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</si>
  <si>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</si>
  <si>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</si>
  <si>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</si>
  <si>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</si>
  <si>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</si>
  <si>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</si>
  <si>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</si>
  <si>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</si>
  <si>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</si>
  <si>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</si>
  <si>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</si>
  <si>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</si>
  <si>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</si>
  <si>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</si>
  <si>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</si>
  <si>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</si>
  <si>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</si>
  <si>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</si>
  <si>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</si>
  <si>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</si>
  <si>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</si>
  <si>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</si>
  <si>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</si>
  <si>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</si>
  <si>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</si>
  <si>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</si>
  <si>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</si>
  <si>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</si>
  <si>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</si>
  <si>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</si>
  <si>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</si>
  <si>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</si>
  <si>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</si>
  <si>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</si>
  <si>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</si>
  <si>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</si>
  <si>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</si>
  <si>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</si>
  <si>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</si>
  <si>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</si>
  <si>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</si>
  <si>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</si>
  <si>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</si>
  <si>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</si>
  <si>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</si>
  <si>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</si>
  <si>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</si>
  <si>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</si>
  <si>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</si>
  <si>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</si>
  <si>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HOPKINTON SCHOOL DISTRICT SAU 66</t>
  </si>
  <si>
    <t>5/07</t>
  </si>
  <si>
    <t>8/17</t>
  </si>
  <si>
    <t>3.5 - 5.0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</si>
</sst>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70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263</v>
      </c>
      <c r="C2" s="21">
        <v>263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1134320</v>
      </c>
      <c r="G9" s="18">
        <v>100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484172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39669</v>
      </c>
      <c r="G12" s="18">
        <v>9768</v>
      </c>
      <c r="H12" s="18">
        <v>38778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7234</v>
      </c>
      <c r="G13" s="18">
        <v>5718</v>
      </c>
      <c r="H13" s="18">
        <v>45510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37248</v>
      </c>
      <c r="G14" s="18">
        <v>627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10859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1229330</v>
      </c>
      <c r="G19" s="41">
        <f>SUM(G9:G18)</f>
        <v>16213</v>
      </c>
      <c r="H19" s="41">
        <f>SUM(H9:H18)</f>
        <v>84288</v>
      </c>
      <c r="I19" s="41">
        <f>SUM(I9:I18)</f>
        <v>0</v>
      </c>
      <c r="J19" s="41">
        <f>SUM(J9:J18)</f>
        <v>484172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48547</v>
      </c>
      <c r="G22" s="18"/>
      <c r="H22" s="18">
        <v>39669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60380</v>
      </c>
      <c r="G24" s="18">
        <v>367</v>
      </c>
      <c r="H24" s="18">
        <v>2452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89524</v>
      </c>
      <c r="G28" s="18">
        <v>3002</v>
      </c>
      <c r="H28" s="18">
        <v>4455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2167</v>
      </c>
      <c r="G30" s="18">
        <v>12844</v>
      </c>
      <c r="H30" s="18">
        <v>37712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200618</v>
      </c>
      <c r="G32" s="41">
        <f>SUM(G22:G31)</f>
        <v>16213</v>
      </c>
      <c r="H32" s="41">
        <f>SUM(H22:H31)</f>
        <v>84288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10859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60000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285334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12500</v>
      </c>
      <c r="G48" s="18"/>
      <c r="H48" s="18"/>
      <c r="I48" s="18"/>
      <c r="J48" s="13">
        <f>SUM(I459)</f>
        <v>484172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23893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636126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1028712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484172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1229330</v>
      </c>
      <c r="G52" s="41">
        <f>G51+G32</f>
        <v>16213</v>
      </c>
      <c r="H52" s="41">
        <f>H51+H32</f>
        <v>84288</v>
      </c>
      <c r="I52" s="41">
        <f>I51+I32</f>
        <v>0</v>
      </c>
      <c r="J52" s="41">
        <f>J51+J32</f>
        <v>484172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12937683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12937683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67732+41180+3721</f>
        <v>112633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1020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113653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193</v>
      </c>
      <c r="G96" s="18"/>
      <c r="H96" s="18"/>
      <c r="I96" s="18"/>
      <c r="J96" s="18">
        <v>1903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1420+45355+441+7160+426+25264+4842+10616+375+2783+40899+10415+805+51700+1238</f>
        <v>203739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f>9165+21509</f>
        <v>30674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1777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38019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7327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30233</v>
      </c>
      <c r="G110" s="18">
        <v>3</v>
      </c>
      <c r="H110" s="18">
        <v>14972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70204</v>
      </c>
      <c r="G111" s="41">
        <f>SUM(G96:G110)</f>
        <v>203742</v>
      </c>
      <c r="H111" s="41">
        <f>SUM(H96:H110)</f>
        <v>52991</v>
      </c>
      <c r="I111" s="41">
        <f>SUM(I96:I110)</f>
        <v>0</v>
      </c>
      <c r="J111" s="41">
        <f>SUM(J96:J110)</f>
        <v>1903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13121540</v>
      </c>
      <c r="G112" s="41">
        <f>G60+G111</f>
        <v>203742</v>
      </c>
      <c r="H112" s="41">
        <f>H60+H79+H94+H111</f>
        <v>52991</v>
      </c>
      <c r="I112" s="41">
        <f>I60+I111</f>
        <v>0</v>
      </c>
      <c r="J112" s="41">
        <f>J60+J111</f>
        <v>1903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1979176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1475667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3832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3458675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164286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83695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3726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1013+44+93+737+206+958+275-1</f>
        <v>3325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>
        <v>3877</v>
      </c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251707</v>
      </c>
      <c r="G136" s="41">
        <f>SUM(G123:G135)</f>
        <v>3325</v>
      </c>
      <c r="H136" s="41">
        <f>SUM(H123:H135)</f>
        <v>3877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3710382</v>
      </c>
      <c r="G140" s="41">
        <f>G121+SUM(G136:G137)</f>
        <v>3325</v>
      </c>
      <c r="H140" s="41">
        <f>H121+SUM(H136:H139)</f>
        <v>3877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11116+43270+2712+1338</f>
        <v>58436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87019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15449+16052+174+4811+6368+15588+6044+16779</f>
        <v>81265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179241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174549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174549</v>
      </c>
      <c r="G162" s="41">
        <f>SUM(G150:G161)</f>
        <v>81265</v>
      </c>
      <c r="H162" s="41">
        <f>SUM(H150:H161)</f>
        <v>324696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174549</v>
      </c>
      <c r="G169" s="41">
        <f>G147+G162+SUM(G163:G168)</f>
        <v>81265</v>
      </c>
      <c r="H169" s="41">
        <f>H147+H162+SUM(H163:H168)</f>
        <v>324696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116617</v>
      </c>
      <c r="H179" s="18">
        <v>3441</v>
      </c>
      <c r="I179" s="18"/>
      <c r="J179" s="18">
        <v>60000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f>315+298</f>
        <v>613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613</v>
      </c>
      <c r="G183" s="41">
        <f>SUM(G179:G182)</f>
        <v>116617</v>
      </c>
      <c r="H183" s="41">
        <f>SUM(H179:H182)</f>
        <v>3441</v>
      </c>
      <c r="I183" s="41">
        <f>SUM(I179:I182)</f>
        <v>0</v>
      </c>
      <c r="J183" s="41">
        <f>SUM(J179:J182)</f>
        <v>60000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613</v>
      </c>
      <c r="G192" s="41">
        <f>G183+SUM(G188:G191)</f>
        <v>116617</v>
      </c>
      <c r="H192" s="41">
        <f>+H183+SUM(H188:H191)</f>
        <v>3441</v>
      </c>
      <c r="I192" s="41">
        <f>I177+I183+SUM(I188:I191)</f>
        <v>0</v>
      </c>
      <c r="J192" s="41">
        <f>J183</f>
        <v>60000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17007084</v>
      </c>
      <c r="G193" s="47">
        <f>G112+G140+G169+G192</f>
        <v>404949</v>
      </c>
      <c r="H193" s="47">
        <f>H112+H140+H169+H192</f>
        <v>385005</v>
      </c>
      <c r="I193" s="47">
        <f>I112+I140+I169+I192</f>
        <v>0</v>
      </c>
      <c r="J193" s="47">
        <f>J112+J140+J192</f>
        <v>61903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79007+35168+2214430</f>
        <v>2328605</v>
      </c>
      <c r="G197" s="18">
        <f>8075+36237+1038503</f>
        <v>1082815</v>
      </c>
      <c r="H197" s="18">
        <f>7301+391</f>
        <v>7692</v>
      </c>
      <c r="I197" s="18">
        <f>12816+3102+36375</f>
        <v>52293</v>
      </c>
      <c r="J197" s="18">
        <f>4605+725+8893</f>
        <v>14223</v>
      </c>
      <c r="K197" s="18">
        <f>85+1142</f>
        <v>1227</v>
      </c>
      <c r="L197" s="19">
        <f>SUM(F197:K197)</f>
        <v>3486855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36863+1109020+1</f>
        <v>1145884</v>
      </c>
      <c r="G198" s="18">
        <f>9425+369038</f>
        <v>378463</v>
      </c>
      <c r="H198" s="18">
        <v>144972</v>
      </c>
      <c r="I198" s="18">
        <f>7395+2103</f>
        <v>9498</v>
      </c>
      <c r="J198" s="18">
        <f>1274+1772</f>
        <v>3046</v>
      </c>
      <c r="K198" s="18"/>
      <c r="L198" s="19">
        <f>SUM(F198:K198)</f>
        <v>1681863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10705</v>
      </c>
      <c r="G200" s="18">
        <v>2245</v>
      </c>
      <c r="H200" s="18"/>
      <c r="I200" s="18"/>
      <c r="J200" s="18"/>
      <c r="K200" s="18"/>
      <c r="L200" s="19">
        <f>SUM(F200:K200)</f>
        <v>12950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124406+383524+1</f>
        <v>507931</v>
      </c>
      <c r="G202" s="18">
        <f>51741+208768</f>
        <v>260509</v>
      </c>
      <c r="H202" s="18">
        <f>25590+99</f>
        <v>25689</v>
      </c>
      <c r="I202" s="18">
        <f>1921+2893</f>
        <v>4814</v>
      </c>
      <c r="J202" s="18">
        <f>719+93</f>
        <v>812</v>
      </c>
      <c r="K202" s="18"/>
      <c r="L202" s="19">
        <f t="shared" ref="L202:L208" si="0">SUM(F202:K202)</f>
        <v>799755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36662+114093</f>
        <v>150755</v>
      </c>
      <c r="G203" s="18">
        <f>12608+23525</f>
        <v>36133</v>
      </c>
      <c r="H203" s="18">
        <f>34539+29266-1</f>
        <v>63804</v>
      </c>
      <c r="I203" s="18">
        <f>9283+19505</f>
        <v>28788</v>
      </c>
      <c r="J203" s="18">
        <f>22282+8130</f>
        <v>30412</v>
      </c>
      <c r="K203" s="18">
        <f>6418+2393</f>
        <v>8811</v>
      </c>
      <c r="L203" s="19">
        <f t="shared" si="0"/>
        <v>318703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169771</v>
      </c>
      <c r="G204" s="18">
        <v>76806</v>
      </c>
      <c r="H204" s="18">
        <v>39008</v>
      </c>
      <c r="I204" s="18">
        <v>5306</v>
      </c>
      <c r="J204" s="18">
        <v>61</v>
      </c>
      <c r="K204" s="18">
        <v>8893</v>
      </c>
      <c r="L204" s="19">
        <f t="shared" si="0"/>
        <v>299845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255552+1</f>
        <v>255553</v>
      </c>
      <c r="G205" s="18">
        <v>149393</v>
      </c>
      <c r="H205" s="18">
        <v>14473</v>
      </c>
      <c r="I205" s="18"/>
      <c r="J205" s="18">
        <v>1110</v>
      </c>
      <c r="K205" s="18">
        <v>1993</v>
      </c>
      <c r="L205" s="19">
        <f t="shared" si="0"/>
        <v>422522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103468</v>
      </c>
      <c r="G206" s="18">
        <v>42667</v>
      </c>
      <c r="H206" s="18"/>
      <c r="I206" s="18">
        <v>10984</v>
      </c>
      <c r="J206" s="18"/>
      <c r="K206" s="18"/>
      <c r="L206" s="19">
        <f t="shared" si="0"/>
        <v>157119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41866+181082</f>
        <v>222948</v>
      </c>
      <c r="G207" s="18">
        <f>16619+92503-1</f>
        <v>109121</v>
      </c>
      <c r="H207" s="18">
        <f>32108+50514</f>
        <v>82622</v>
      </c>
      <c r="I207" s="18">
        <f>6539+108836</f>
        <v>115375</v>
      </c>
      <c r="J207" s="18">
        <f>2535+3093</f>
        <v>5628</v>
      </c>
      <c r="K207" s="18"/>
      <c r="L207" s="19">
        <f t="shared" si="0"/>
        <v>535694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16103</v>
      </c>
      <c r="G208" s="18">
        <v>14474</v>
      </c>
      <c r="H208" s="18">
        <f>235131+61315+4+2896</f>
        <v>299346</v>
      </c>
      <c r="I208" s="18">
        <f>277+2183-4</f>
        <v>2456</v>
      </c>
      <c r="J208" s="18"/>
      <c r="K208" s="18">
        <f>43+201</f>
        <v>244</v>
      </c>
      <c r="L208" s="19">
        <f t="shared" si="0"/>
        <v>332623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88254</v>
      </c>
      <c r="G209" s="18">
        <v>41883</v>
      </c>
      <c r="H209" s="18">
        <v>3180</v>
      </c>
      <c r="I209" s="18"/>
      <c r="J209" s="18">
        <v>1116</v>
      </c>
      <c r="K209" s="18">
        <v>6589</v>
      </c>
      <c r="L209" s="19">
        <f>SUM(F209:K209)</f>
        <v>141022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K211" si="1">SUM(F197:F210)</f>
        <v>4999977</v>
      </c>
      <c r="G211" s="41">
        <f t="shared" si="1"/>
        <v>2194509</v>
      </c>
      <c r="H211" s="41">
        <f t="shared" si="1"/>
        <v>680786</v>
      </c>
      <c r="I211" s="41">
        <f t="shared" si="1"/>
        <v>229514</v>
      </c>
      <c r="J211" s="41">
        <f t="shared" si="1"/>
        <v>56408</v>
      </c>
      <c r="K211" s="41">
        <f t="shared" si="1"/>
        <v>27757</v>
      </c>
      <c r="L211" s="41">
        <f t="shared" ref="L211" si="2">SUM(L197:L210)</f>
        <v>8188951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12173+759031</f>
        <v>771204</v>
      </c>
      <c r="G215" s="18">
        <f>2795+362978</f>
        <v>365773</v>
      </c>
      <c r="H215" s="18">
        <f>2527+1405</f>
        <v>3932</v>
      </c>
      <c r="I215" s="18">
        <f>1074+15630</f>
        <v>16704</v>
      </c>
      <c r="J215" s="18">
        <f>1407+6386</f>
        <v>7793</v>
      </c>
      <c r="K215" s="18">
        <v>505</v>
      </c>
      <c r="L215" s="19">
        <f>SUM(F215:K215)</f>
        <v>1165911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12760+265315</f>
        <v>278075</v>
      </c>
      <c r="G216" s="18">
        <f>3263+122594</f>
        <v>125857</v>
      </c>
      <c r="H216" s="18">
        <f>50182+48</f>
        <v>50230</v>
      </c>
      <c r="I216" s="18">
        <f>2560+1292</f>
        <v>3852</v>
      </c>
      <c r="J216" s="18">
        <f>441+384+1</f>
        <v>826</v>
      </c>
      <c r="K216" s="18"/>
      <c r="L216" s="19">
        <f>SUM(F216:K216)</f>
        <v>458840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45382</v>
      </c>
      <c r="G218" s="18">
        <v>10847</v>
      </c>
      <c r="H218" s="18">
        <v>10200</v>
      </c>
      <c r="I218" s="18">
        <v>2568</v>
      </c>
      <c r="J218" s="18"/>
      <c r="K218" s="18"/>
      <c r="L218" s="19">
        <f>SUM(F218:K218)</f>
        <v>68997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43064+60420</f>
        <v>103484</v>
      </c>
      <c r="G220" s="18">
        <f>17910+25326</f>
        <v>43236</v>
      </c>
      <c r="H220" s="18">
        <v>8858</v>
      </c>
      <c r="I220" s="18">
        <f>665+574</f>
        <v>1239</v>
      </c>
      <c r="J220" s="18">
        <v>249</v>
      </c>
      <c r="K220" s="18"/>
      <c r="L220" s="19">
        <f t="shared" ref="L220:L226" si="3">SUM(F220:K220)</f>
        <v>157066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12691+28416</f>
        <v>41107</v>
      </c>
      <c r="G221" s="18">
        <f>4364+15775</f>
        <v>20139</v>
      </c>
      <c r="H221" s="18">
        <f>11956+5139</f>
        <v>17095</v>
      </c>
      <c r="I221" s="18">
        <f>3213+6844</f>
        <v>10057</v>
      </c>
      <c r="J221" s="18">
        <f>7713+1810</f>
        <v>9523</v>
      </c>
      <c r="K221" s="18">
        <f>2222+1354</f>
        <v>3576</v>
      </c>
      <c r="L221" s="19">
        <f t="shared" si="3"/>
        <v>101497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58767</v>
      </c>
      <c r="G222" s="18">
        <v>26587</v>
      </c>
      <c r="H222" s="18">
        <v>13503</v>
      </c>
      <c r="I222" s="18">
        <v>1837</v>
      </c>
      <c r="J222" s="18">
        <v>21</v>
      </c>
      <c r="K222" s="18">
        <v>3078</v>
      </c>
      <c r="L222" s="19">
        <f t="shared" si="3"/>
        <v>103793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94348</v>
      </c>
      <c r="G223" s="18">
        <v>49354</v>
      </c>
      <c r="H223" s="18">
        <v>4111</v>
      </c>
      <c r="I223" s="18">
        <v>1284</v>
      </c>
      <c r="J223" s="18">
        <v>178</v>
      </c>
      <c r="K223" s="18">
        <v>739</v>
      </c>
      <c r="L223" s="19">
        <f t="shared" si="3"/>
        <v>150014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35816</v>
      </c>
      <c r="G224" s="18">
        <v>14770</v>
      </c>
      <c r="H224" s="18"/>
      <c r="I224" s="18">
        <v>3802</v>
      </c>
      <c r="J224" s="18"/>
      <c r="K224" s="18"/>
      <c r="L224" s="19">
        <f t="shared" si="3"/>
        <v>54388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14492+42132</f>
        <v>56624</v>
      </c>
      <c r="G225" s="18">
        <f>5753+18299</f>
        <v>24052</v>
      </c>
      <c r="H225" s="18">
        <f>11114+21572</f>
        <v>32686</v>
      </c>
      <c r="I225" s="18">
        <f>2264+40339</f>
        <v>42603</v>
      </c>
      <c r="J225" s="18">
        <f>877+5410</f>
        <v>6287</v>
      </c>
      <c r="K225" s="18"/>
      <c r="L225" s="19">
        <f t="shared" si="3"/>
        <v>162252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f>231+4444</f>
        <v>4675</v>
      </c>
      <c r="G226" s="18">
        <f>99+4819</f>
        <v>4918</v>
      </c>
      <c r="H226" s="18">
        <v>118871</v>
      </c>
      <c r="I226" s="18">
        <f>96+756</f>
        <v>852</v>
      </c>
      <c r="J226" s="18"/>
      <c r="K226" s="18">
        <f>15+70</f>
        <v>85</v>
      </c>
      <c r="L226" s="19">
        <f t="shared" si="3"/>
        <v>129401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30549</v>
      </c>
      <c r="G227" s="18">
        <v>14498</v>
      </c>
      <c r="H227" s="18">
        <v>1101</v>
      </c>
      <c r="I227" s="18"/>
      <c r="J227" s="18">
        <v>387</v>
      </c>
      <c r="K227" s="18">
        <v>2281</v>
      </c>
      <c r="L227" s="19">
        <f>SUM(F227:K227)</f>
        <v>48816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4">SUM(F215:F228)</f>
        <v>1520031</v>
      </c>
      <c r="G229" s="41">
        <f>SUM(G215:G228)</f>
        <v>700031</v>
      </c>
      <c r="H229" s="41">
        <f>SUM(H215:H228)</f>
        <v>260587</v>
      </c>
      <c r="I229" s="41">
        <f>SUM(I215:I228)</f>
        <v>84798</v>
      </c>
      <c r="J229" s="41">
        <f>SUM(J215:J228)</f>
        <v>25264</v>
      </c>
      <c r="K229" s="41">
        <f t="shared" si="4"/>
        <v>10264</v>
      </c>
      <c r="L229" s="41">
        <f t="shared" si="4"/>
        <v>2600975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5000+20289+1512061</f>
        <v>1537350</v>
      </c>
      <c r="G233" s="18">
        <f>1027+4658+724895</f>
        <v>730580</v>
      </c>
      <c r="H233" s="18">
        <f>4212+6586</f>
        <v>10798</v>
      </c>
      <c r="I233" s="18">
        <f>1789+40968</f>
        <v>42757</v>
      </c>
      <c r="J233" s="18">
        <f>1805+14867</f>
        <v>16672</v>
      </c>
      <c r="K233" s="18">
        <v>3395</v>
      </c>
      <c r="L233" s="19">
        <f>SUM(F233:K233)</f>
        <v>2341552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21267+465026</f>
        <v>486293</v>
      </c>
      <c r="G234" s="18">
        <f>5438+201642</f>
        <v>207080</v>
      </c>
      <c r="H234" s="18">
        <v>83637</v>
      </c>
      <c r="I234" s="18">
        <f>4266+2995</f>
        <v>7261</v>
      </c>
      <c r="J234" s="18">
        <f>735+1410</f>
        <v>2145</v>
      </c>
      <c r="K234" s="18"/>
      <c r="L234" s="19">
        <f>SUM(F234:K234)</f>
        <v>786416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29613</v>
      </c>
      <c r="I235" s="18"/>
      <c r="J235" s="18"/>
      <c r="K235" s="18"/>
      <c r="L235" s="19">
        <f>SUM(F235:K235)</f>
        <v>29613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168536</v>
      </c>
      <c r="G236" s="18">
        <v>34599</v>
      </c>
      <c r="H236" s="18">
        <v>75915</v>
      </c>
      <c r="I236" s="18">
        <v>9177</v>
      </c>
      <c r="J236" s="18">
        <v>3924</v>
      </c>
      <c r="K236" s="18">
        <v>3300</v>
      </c>
      <c r="L236" s="19">
        <f>SUM(F236:K236)</f>
        <v>295451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71773+222303</f>
        <v>294076</v>
      </c>
      <c r="G238" s="18">
        <f>29851+90048</f>
        <v>119899</v>
      </c>
      <c r="H238" s="18">
        <v>14763</v>
      </c>
      <c r="I238" s="18">
        <f>1108+3260</f>
        <v>4368</v>
      </c>
      <c r="J238" s="18">
        <f>415+8863</f>
        <v>9278</v>
      </c>
      <c r="K238" s="18">
        <v>670</v>
      </c>
      <c r="L238" s="19">
        <f t="shared" ref="L238:L244" si="5">SUM(F238:K238)</f>
        <v>443054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21151+66304</f>
        <v>87455</v>
      </c>
      <c r="G239" s="18">
        <f>7274+36811</f>
        <v>44085</v>
      </c>
      <c r="H239" s="18">
        <f>19926+20166</f>
        <v>40092</v>
      </c>
      <c r="I239" s="18">
        <f>5356+17343</f>
        <v>22699</v>
      </c>
      <c r="J239" s="18">
        <f>12855+6209</f>
        <v>19064</v>
      </c>
      <c r="K239" s="18">
        <f>3703+3158</f>
        <v>6861</v>
      </c>
      <c r="L239" s="19">
        <f t="shared" si="5"/>
        <v>220256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97945</v>
      </c>
      <c r="G240" s="18">
        <v>44311</v>
      </c>
      <c r="H240" s="18">
        <v>22505</v>
      </c>
      <c r="I240" s="18">
        <v>3061</v>
      </c>
      <c r="J240" s="18">
        <v>35</v>
      </c>
      <c r="K240" s="18">
        <v>5130</v>
      </c>
      <c r="L240" s="19">
        <f t="shared" si="5"/>
        <v>172987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190769</v>
      </c>
      <c r="G241" s="18">
        <v>90236</v>
      </c>
      <c r="H241" s="18">
        <v>10786</v>
      </c>
      <c r="I241" s="18">
        <v>10303</v>
      </c>
      <c r="J241" s="18">
        <v>414</v>
      </c>
      <c r="K241" s="18">
        <v>1729</v>
      </c>
      <c r="L241" s="19">
        <f t="shared" si="5"/>
        <v>304237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59693</v>
      </c>
      <c r="G242" s="18">
        <v>24616</v>
      </c>
      <c r="H242" s="18"/>
      <c r="I242" s="18">
        <v>6337</v>
      </c>
      <c r="J242" s="18"/>
      <c r="K242" s="18"/>
      <c r="L242" s="19">
        <f t="shared" si="5"/>
        <v>90646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24153+165234</f>
        <v>189387</v>
      </c>
      <c r="G243" s="18">
        <f>9588+70958</f>
        <v>80546</v>
      </c>
      <c r="H243" s="18">
        <f>18524+46518</f>
        <v>65042</v>
      </c>
      <c r="I243" s="18">
        <f>3773+93993</f>
        <v>97766</v>
      </c>
      <c r="J243" s="18">
        <f>1462+15312</f>
        <v>16774</v>
      </c>
      <c r="K243" s="18"/>
      <c r="L243" s="19">
        <f t="shared" si="5"/>
        <v>449515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f>384+7407</f>
        <v>7791</v>
      </c>
      <c r="G244" s="18">
        <f>164+8032</f>
        <v>8196</v>
      </c>
      <c r="H244" s="18">
        <v>241612</v>
      </c>
      <c r="I244" s="18">
        <f>160+1259</f>
        <v>1419</v>
      </c>
      <c r="J244" s="18"/>
      <c r="K244" s="18">
        <f>25+116</f>
        <v>141</v>
      </c>
      <c r="L244" s="19">
        <f t="shared" si="5"/>
        <v>259159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50916</v>
      </c>
      <c r="G245" s="18">
        <v>24164</v>
      </c>
      <c r="H245" s="18">
        <v>1835</v>
      </c>
      <c r="I245" s="18"/>
      <c r="J245" s="18">
        <v>644</v>
      </c>
      <c r="K245" s="18">
        <v>3801</v>
      </c>
      <c r="L245" s="19">
        <f>SUM(F245:K245)</f>
        <v>81360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6">SUM(F233:F246)</f>
        <v>3170211</v>
      </c>
      <c r="G247" s="41">
        <f t="shared" si="6"/>
        <v>1408312</v>
      </c>
      <c r="H247" s="41">
        <f t="shared" si="6"/>
        <v>596598</v>
      </c>
      <c r="I247" s="41">
        <f t="shared" si="6"/>
        <v>205148</v>
      </c>
      <c r="J247" s="41">
        <f t="shared" si="6"/>
        <v>68950</v>
      </c>
      <c r="K247" s="41">
        <f t="shared" si="6"/>
        <v>25027</v>
      </c>
      <c r="L247" s="41">
        <f t="shared" si="6"/>
        <v>5474246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7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7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7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7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7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10951</v>
      </c>
      <c r="I255" s="18"/>
      <c r="J255" s="18"/>
      <c r="K255" s="18"/>
      <c r="L255" s="19">
        <f t="shared" si="7"/>
        <v>10951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8">SUM(F250:F255)</f>
        <v>0</v>
      </c>
      <c r="G256" s="41">
        <f t="shared" si="8"/>
        <v>0</v>
      </c>
      <c r="H256" s="41">
        <f t="shared" si="8"/>
        <v>10951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>SUM(F256:K256)</f>
        <v>10951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9">F211+F229+F247+F256</f>
        <v>9690219</v>
      </c>
      <c r="G257" s="41">
        <f t="shared" si="9"/>
        <v>4302852</v>
      </c>
      <c r="H257" s="41">
        <f t="shared" si="9"/>
        <v>1548922</v>
      </c>
      <c r="I257" s="41">
        <f t="shared" si="9"/>
        <v>519460</v>
      </c>
      <c r="J257" s="41">
        <f t="shared" si="9"/>
        <v>150622</v>
      </c>
      <c r="K257" s="41">
        <f t="shared" si="9"/>
        <v>63048</v>
      </c>
      <c r="L257" s="41">
        <f t="shared" si="9"/>
        <v>16275123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510000</v>
      </c>
      <c r="L260" s="19">
        <f>SUM(F260:K260)</f>
        <v>510000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37450</v>
      </c>
      <c r="L261" s="19">
        <f>SUM(F261:K261)</f>
        <v>37450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116617</v>
      </c>
      <c r="L263" s="19">
        <f>SUM(F263:K263)</f>
        <v>116617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3441</v>
      </c>
      <c r="L264" s="19">
        <f t="shared" ref="L264:L270" si="10">SUM(F264:K264)</f>
        <v>3441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10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60000</v>
      </c>
      <c r="L266" s="19">
        <f t="shared" si="10"/>
        <v>60000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10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10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1">SUM(F260:F269)</f>
        <v>0</v>
      </c>
      <c r="G270" s="42">
        <f t="shared" si="11"/>
        <v>0</v>
      </c>
      <c r="H270" s="42">
        <f t="shared" si="11"/>
        <v>0</v>
      </c>
      <c r="I270" s="42">
        <f t="shared" si="11"/>
        <v>0</v>
      </c>
      <c r="J270" s="42">
        <f t="shared" si="11"/>
        <v>0</v>
      </c>
      <c r="K270" s="42">
        <f t="shared" si="11"/>
        <v>727508</v>
      </c>
      <c r="L270" s="41">
        <f t="shared" si="10"/>
        <v>727508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2">F257+F270</f>
        <v>9690219</v>
      </c>
      <c r="G271" s="42">
        <f t="shared" si="12"/>
        <v>4302852</v>
      </c>
      <c r="H271" s="42">
        <f t="shared" si="12"/>
        <v>1548922</v>
      </c>
      <c r="I271" s="42">
        <f t="shared" si="12"/>
        <v>519460</v>
      </c>
      <c r="J271" s="42">
        <f t="shared" si="12"/>
        <v>150622</v>
      </c>
      <c r="K271" s="42">
        <f t="shared" si="12"/>
        <v>790556</v>
      </c>
      <c r="L271" s="42">
        <f t="shared" si="12"/>
        <v>17002631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27701+1409-1</f>
        <v>29109</v>
      </c>
      <c r="G276" s="18">
        <f>17531+332</f>
        <v>17863</v>
      </c>
      <c r="H276" s="18">
        <v>4530</v>
      </c>
      <c r="I276" s="18">
        <f>2780+1426</f>
        <v>4206</v>
      </c>
      <c r="J276" s="18">
        <f>5396+1733</f>
        <v>7129</v>
      </c>
      <c r="K276" s="18">
        <v>2580</v>
      </c>
      <c r="L276" s="19">
        <f>SUM(F276:K276)</f>
        <v>65417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64636</v>
      </c>
      <c r="G277" s="18">
        <v>31563</v>
      </c>
      <c r="H277" s="18">
        <v>20199</v>
      </c>
      <c r="I277" s="18">
        <v>137</v>
      </c>
      <c r="J277" s="18">
        <v>937</v>
      </c>
      <c r="K277" s="18"/>
      <c r="L277" s="19">
        <f>SUM(F277:K277)</f>
        <v>117472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>
        <v>208</v>
      </c>
      <c r="J279" s="18"/>
      <c r="K279" s="18"/>
      <c r="L279" s="19">
        <f>SUM(F279:K279)</f>
        <v>208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>
        <v>838</v>
      </c>
      <c r="J281" s="18"/>
      <c r="K281" s="18"/>
      <c r="L281" s="19">
        <f t="shared" ref="L281:L287" si="13">SUM(F281:K281)</f>
        <v>838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6871</v>
      </c>
      <c r="G282" s="18">
        <v>1443</v>
      </c>
      <c r="H282" s="18">
        <f>17937+8385+1681-2</f>
        <v>28001</v>
      </c>
      <c r="I282" s="18">
        <f>8022+415+189</f>
        <v>8626</v>
      </c>
      <c r="J282" s="18">
        <v>63</v>
      </c>
      <c r="K282" s="18">
        <v>523</v>
      </c>
      <c r="L282" s="19">
        <f t="shared" si="13"/>
        <v>45527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>
        <v>273</v>
      </c>
      <c r="I283" s="18">
        <v>253</v>
      </c>
      <c r="J283" s="18"/>
      <c r="K283" s="18"/>
      <c r="L283" s="19">
        <f t="shared" si="13"/>
        <v>526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3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3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3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>
        <v>5200</v>
      </c>
      <c r="K287" s="18">
        <v>1000</v>
      </c>
      <c r="L287" s="19">
        <f t="shared" si="13"/>
        <v>6200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K290" si="14">SUM(F276:F289)</f>
        <v>100616</v>
      </c>
      <c r="G290" s="42">
        <f t="shared" si="14"/>
        <v>50869</v>
      </c>
      <c r="H290" s="42">
        <f t="shared" si="14"/>
        <v>53003</v>
      </c>
      <c r="I290" s="42">
        <f t="shared" si="14"/>
        <v>14268</v>
      </c>
      <c r="J290" s="42">
        <f t="shared" si="14"/>
        <v>13329</v>
      </c>
      <c r="K290" s="42">
        <f t="shared" si="14"/>
        <v>4103</v>
      </c>
      <c r="L290" s="41">
        <f t="shared" ref="L290" si="15">SUM(L276:L289)</f>
        <v>236188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>
        <v>2959</v>
      </c>
      <c r="I295" s="18">
        <v>208</v>
      </c>
      <c r="J295" s="18">
        <v>490</v>
      </c>
      <c r="K295" s="18">
        <v>541</v>
      </c>
      <c r="L295" s="19">
        <f>SUM(F295:K295)</f>
        <v>4198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20769</v>
      </c>
      <c r="G296" s="18">
        <v>10294</v>
      </c>
      <c r="H296" s="18">
        <v>6987</v>
      </c>
      <c r="I296" s="18">
        <v>48</v>
      </c>
      <c r="J296" s="18">
        <v>324</v>
      </c>
      <c r="K296" s="18"/>
      <c r="L296" s="19">
        <f>SUM(F296:K296)</f>
        <v>38422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>
        <v>290</v>
      </c>
      <c r="J300" s="18"/>
      <c r="K300" s="18"/>
      <c r="L300" s="19">
        <f t="shared" ref="L300:L306" si="16">SUM(F300:K300)</f>
        <v>290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2308</v>
      </c>
      <c r="G301" s="18">
        <v>499</v>
      </c>
      <c r="H301" s="18">
        <f>5114+2591+582</f>
        <v>8287</v>
      </c>
      <c r="I301" s="18">
        <f>2777+65</f>
        <v>2842</v>
      </c>
      <c r="J301" s="18">
        <v>22</v>
      </c>
      <c r="K301" s="18">
        <v>181</v>
      </c>
      <c r="L301" s="19">
        <f t="shared" si="16"/>
        <v>14139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>
        <v>95</v>
      </c>
      <c r="I302" s="18">
        <v>87</v>
      </c>
      <c r="J302" s="18"/>
      <c r="K302" s="18"/>
      <c r="L302" s="19">
        <f t="shared" si="16"/>
        <v>182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6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6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6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>
        <v>1800</v>
      </c>
      <c r="K306" s="18"/>
      <c r="L306" s="19">
        <f t="shared" si="16"/>
        <v>1800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7">SUM(F295:F308)</f>
        <v>23077</v>
      </c>
      <c r="G309" s="42">
        <f t="shared" si="17"/>
        <v>10793</v>
      </c>
      <c r="H309" s="42">
        <f t="shared" si="17"/>
        <v>18328</v>
      </c>
      <c r="I309" s="42">
        <f t="shared" si="17"/>
        <v>3475</v>
      </c>
      <c r="J309" s="42">
        <f t="shared" si="17"/>
        <v>2636</v>
      </c>
      <c r="K309" s="42">
        <f t="shared" si="17"/>
        <v>722</v>
      </c>
      <c r="L309" s="41">
        <f t="shared" si="17"/>
        <v>59031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>
        <v>3029</v>
      </c>
      <c r="I314" s="18">
        <f>1797+8582</f>
        <v>10379</v>
      </c>
      <c r="J314" s="18">
        <v>693</v>
      </c>
      <c r="K314" s="18">
        <f>750+11880</f>
        <v>12630</v>
      </c>
      <c r="L314" s="19">
        <f>SUM(F314:K314)</f>
        <v>26731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6954</v>
      </c>
      <c r="G315" s="18">
        <v>3408</v>
      </c>
      <c r="H315" s="18">
        <v>11426</v>
      </c>
      <c r="I315" s="18">
        <v>78</v>
      </c>
      <c r="J315" s="18">
        <v>530</v>
      </c>
      <c r="K315" s="18"/>
      <c r="L315" s="19">
        <f>SUM(F315:K315)</f>
        <v>22396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>
        <v>750</v>
      </c>
      <c r="I317" s="18"/>
      <c r="J317" s="18"/>
      <c r="K317" s="18">
        <v>7000</v>
      </c>
      <c r="L317" s="19">
        <f>SUM(F317:K317)</f>
        <v>7750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>
        <v>474</v>
      </c>
      <c r="J319" s="18"/>
      <c r="K319" s="18"/>
      <c r="L319" s="19">
        <f t="shared" ref="L319:L325" si="18">SUM(F319:K319)</f>
        <v>474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3774</v>
      </c>
      <c r="G320" s="18">
        <v>816</v>
      </c>
      <c r="H320" s="18">
        <f>8524+5068+970</f>
        <v>14562</v>
      </c>
      <c r="I320" s="18">
        <f>4628+51+261</f>
        <v>4940</v>
      </c>
      <c r="J320" s="18">
        <v>36</v>
      </c>
      <c r="K320" s="18">
        <v>296</v>
      </c>
      <c r="L320" s="19">
        <f t="shared" si="18"/>
        <v>24424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>
        <v>154</v>
      </c>
      <c r="I321" s="18">
        <v>143</v>
      </c>
      <c r="J321" s="18"/>
      <c r="K321" s="18"/>
      <c r="L321" s="19">
        <f t="shared" si="18"/>
        <v>297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8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8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8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>
        <v>3000</v>
      </c>
      <c r="K325" s="18"/>
      <c r="L325" s="19">
        <f t="shared" si="18"/>
        <v>3000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9">SUM(F314:F327)</f>
        <v>10728</v>
      </c>
      <c r="G328" s="42">
        <f t="shared" si="19"/>
        <v>4224</v>
      </c>
      <c r="H328" s="42">
        <f t="shared" si="19"/>
        <v>29921</v>
      </c>
      <c r="I328" s="42">
        <f t="shared" si="19"/>
        <v>16014</v>
      </c>
      <c r="J328" s="42">
        <f t="shared" si="19"/>
        <v>4259</v>
      </c>
      <c r="K328" s="42">
        <f t="shared" si="19"/>
        <v>19926</v>
      </c>
      <c r="L328" s="41">
        <f t="shared" si="19"/>
        <v>85072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>
        <v>189</v>
      </c>
      <c r="I332" s="18"/>
      <c r="J332" s="18"/>
      <c r="K332" s="18"/>
      <c r="L332" s="19">
        <f t="shared" ref="L332:L337" si="20">SUM(F332:K332)</f>
        <v>189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20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20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>
        <v>2037</v>
      </c>
      <c r="J335" s="18"/>
      <c r="K335" s="18">
        <v>1875</v>
      </c>
      <c r="L335" s="19">
        <f t="shared" si="20"/>
        <v>3912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20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21">SUM(F332:F336)</f>
        <v>0</v>
      </c>
      <c r="G337" s="41">
        <f t="shared" si="21"/>
        <v>0</v>
      </c>
      <c r="H337" s="41">
        <f t="shared" si="21"/>
        <v>189</v>
      </c>
      <c r="I337" s="41">
        <f t="shared" si="21"/>
        <v>2037</v>
      </c>
      <c r="J337" s="41">
        <f t="shared" si="21"/>
        <v>0</v>
      </c>
      <c r="K337" s="41">
        <f t="shared" si="21"/>
        <v>1875</v>
      </c>
      <c r="L337" s="41">
        <f t="shared" si="20"/>
        <v>4101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2">F290+F309+F328+F337</f>
        <v>134421</v>
      </c>
      <c r="G338" s="41">
        <f t="shared" si="22"/>
        <v>65886</v>
      </c>
      <c r="H338" s="41">
        <f t="shared" si="22"/>
        <v>101441</v>
      </c>
      <c r="I338" s="41">
        <f t="shared" si="22"/>
        <v>35794</v>
      </c>
      <c r="J338" s="41">
        <f t="shared" si="22"/>
        <v>20224</v>
      </c>
      <c r="K338" s="41">
        <f t="shared" si="22"/>
        <v>26626</v>
      </c>
      <c r="L338" s="41">
        <f t="shared" si="22"/>
        <v>384392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613</v>
      </c>
      <c r="L344" s="19">
        <f t="shared" ref="L344:L350" si="23">SUM(F344:K344)</f>
        <v>613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3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3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3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3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3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613</v>
      </c>
      <c r="L351" s="41">
        <f>SUM(L341:L350)</f>
        <v>613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134421</v>
      </c>
      <c r="G352" s="41">
        <f>G338</f>
        <v>65886</v>
      </c>
      <c r="H352" s="41">
        <f>H338</f>
        <v>101441</v>
      </c>
      <c r="I352" s="41">
        <f>I338</f>
        <v>35794</v>
      </c>
      <c r="J352" s="41">
        <f>J338</f>
        <v>20224</v>
      </c>
      <c r="K352" s="47">
        <f>K338+K351</f>
        <v>27239</v>
      </c>
      <c r="L352" s="41">
        <f>L338+L351</f>
        <v>385005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20977+64864</f>
        <v>85841</v>
      </c>
      <c r="G358" s="18">
        <f>13466+18885</f>
        <v>32351</v>
      </c>
      <c r="H358" s="18">
        <f>1330+451</f>
        <v>1781</v>
      </c>
      <c r="I358" s="18">
        <f>9050+77671</f>
        <v>86721</v>
      </c>
      <c r="J358" s="18"/>
      <c r="K358" s="18">
        <f>86+337</f>
        <v>423</v>
      </c>
      <c r="L358" s="13">
        <f>SUM(F358:K358)</f>
        <v>207117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7261+21853</f>
        <v>29114</v>
      </c>
      <c r="G359" s="18">
        <f>4661+10264</f>
        <v>14925</v>
      </c>
      <c r="H359" s="18">
        <f>460+376</f>
        <v>836</v>
      </c>
      <c r="I359" s="18">
        <f>3133+23828</f>
        <v>26961</v>
      </c>
      <c r="J359" s="18">
        <v>3030</v>
      </c>
      <c r="K359" s="18">
        <f>30+73</f>
        <v>103</v>
      </c>
      <c r="L359" s="19">
        <f>SUM(F359:K359)</f>
        <v>74969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12102+35655</f>
        <v>47757</v>
      </c>
      <c r="G360" s="18">
        <f>7769+16746</f>
        <v>24515</v>
      </c>
      <c r="H360" s="18">
        <f>767+614</f>
        <v>1381</v>
      </c>
      <c r="I360" s="18">
        <f>5221+38878</f>
        <v>44099</v>
      </c>
      <c r="J360" s="18">
        <v>4943</v>
      </c>
      <c r="K360" s="18">
        <f>49+119</f>
        <v>168</v>
      </c>
      <c r="L360" s="19">
        <f>SUM(F360:K360)</f>
        <v>122863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4">SUM(F358:F361)</f>
        <v>162712</v>
      </c>
      <c r="G362" s="47">
        <f t="shared" si="24"/>
        <v>71791</v>
      </c>
      <c r="H362" s="47">
        <f t="shared" si="24"/>
        <v>3998</v>
      </c>
      <c r="I362" s="47">
        <f t="shared" si="24"/>
        <v>157781</v>
      </c>
      <c r="J362" s="47">
        <f t="shared" si="24"/>
        <v>7973</v>
      </c>
      <c r="K362" s="47">
        <f t="shared" si="24"/>
        <v>694</v>
      </c>
      <c r="L362" s="47">
        <f t="shared" si="24"/>
        <v>404949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77671-1267-573+9050-969</f>
        <v>83912</v>
      </c>
      <c r="G367" s="18">
        <f>23828-1465+3133-335</f>
        <v>25161</v>
      </c>
      <c r="H367" s="18">
        <f>38878-3855+1465+5221-1566</f>
        <v>40143</v>
      </c>
      <c r="I367" s="56">
        <f>SUM(F367:H367)</f>
        <v>149216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1267+573+969</f>
        <v>2809</v>
      </c>
      <c r="G368" s="63">
        <f>1465+335</f>
        <v>1800</v>
      </c>
      <c r="H368" s="63">
        <f>2390+1566</f>
        <v>3956</v>
      </c>
      <c r="I368" s="56">
        <f>SUM(F368:H368)</f>
        <v>8565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86721</v>
      </c>
      <c r="G369" s="47">
        <f>SUM(G367:G368)</f>
        <v>26961</v>
      </c>
      <c r="H369" s="47">
        <f>SUM(H367:H368)</f>
        <v>44099</v>
      </c>
      <c r="I369" s="47">
        <f>SUM(I367:I368)</f>
        <v>157781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5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5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5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5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5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5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5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6">SUM(G374:G381)</f>
        <v>0</v>
      </c>
      <c r="H382" s="139">
        <f t="shared" si="26"/>
        <v>0</v>
      </c>
      <c r="I382" s="41">
        <f t="shared" si="26"/>
        <v>0</v>
      </c>
      <c r="J382" s="47">
        <f t="shared" si="26"/>
        <v>0</v>
      </c>
      <c r="K382" s="47">
        <f t="shared" si="26"/>
        <v>0</v>
      </c>
      <c r="L382" s="47">
        <f t="shared" si="26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7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7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50000</v>
      </c>
      <c r="H389" s="18">
        <v>1492</v>
      </c>
      <c r="I389" s="18"/>
      <c r="J389" s="24" t="s">
        <v>288</v>
      </c>
      <c r="K389" s="24" t="s">
        <v>288</v>
      </c>
      <c r="L389" s="56">
        <f t="shared" si="27"/>
        <v>51492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7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7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10000</v>
      </c>
      <c r="H392" s="18">
        <v>229</v>
      </c>
      <c r="I392" s="18"/>
      <c r="J392" s="24" t="s">
        <v>288</v>
      </c>
      <c r="K392" s="24" t="s">
        <v>288</v>
      </c>
      <c r="L392" s="56">
        <f t="shared" si="27"/>
        <v>10229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60000</v>
      </c>
      <c r="H393" s="139">
        <f>SUM(H387:H392)</f>
        <v>1721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61721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46</v>
      </c>
      <c r="I395" s="18"/>
      <c r="J395" s="24" t="s">
        <v>288</v>
      </c>
      <c r="K395" s="24" t="s">
        <v>288</v>
      </c>
      <c r="L395" s="56">
        <f t="shared" ref="L395:L400" si="28">SUM(F395:K395)</f>
        <v>46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8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136</v>
      </c>
      <c r="I397" s="18"/>
      <c r="J397" s="24" t="s">
        <v>288</v>
      </c>
      <c r="K397" s="24" t="s">
        <v>288</v>
      </c>
      <c r="L397" s="56">
        <f t="shared" si="28"/>
        <v>136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8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8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8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182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182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1903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61903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>
        <v>46638</v>
      </c>
      <c r="K416" s="18"/>
      <c r="L416" s="56">
        <f t="shared" si="29"/>
        <v>46638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30">SUM(F413:F418)</f>
        <v>0</v>
      </c>
      <c r="G419" s="139">
        <f t="shared" si="30"/>
        <v>0</v>
      </c>
      <c r="H419" s="139">
        <f t="shared" si="30"/>
        <v>0</v>
      </c>
      <c r="I419" s="139">
        <f t="shared" si="30"/>
        <v>0</v>
      </c>
      <c r="J419" s="139">
        <f t="shared" si="30"/>
        <v>46638</v>
      </c>
      <c r="K419" s="139">
        <f t="shared" si="30"/>
        <v>0</v>
      </c>
      <c r="L419" s="47">
        <f t="shared" si="30"/>
        <v>46638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31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31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31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31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31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31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2">SUM(F421:F426)</f>
        <v>0</v>
      </c>
      <c r="G427" s="47">
        <f t="shared" si="32"/>
        <v>0</v>
      </c>
      <c r="H427" s="47">
        <f t="shared" si="32"/>
        <v>0</v>
      </c>
      <c r="I427" s="47">
        <f t="shared" si="32"/>
        <v>0</v>
      </c>
      <c r="J427" s="47">
        <f t="shared" si="32"/>
        <v>0</v>
      </c>
      <c r="K427" s="47">
        <f t="shared" si="32"/>
        <v>0</v>
      </c>
      <c r="L427" s="47">
        <f t="shared" si="32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3">SUM(F429:F432)</f>
        <v>0</v>
      </c>
      <c r="G433" s="47">
        <f t="shared" si="33"/>
        <v>0</v>
      </c>
      <c r="H433" s="47">
        <f t="shared" si="33"/>
        <v>0</v>
      </c>
      <c r="I433" s="47">
        <f t="shared" si="33"/>
        <v>0</v>
      </c>
      <c r="J433" s="47">
        <f t="shared" si="33"/>
        <v>0</v>
      </c>
      <c r="K433" s="47">
        <f t="shared" si="33"/>
        <v>0</v>
      </c>
      <c r="L433" s="47">
        <f t="shared" si="33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4">F419+F427+F433</f>
        <v>0</v>
      </c>
      <c r="G434" s="47">
        <f t="shared" si="34"/>
        <v>0</v>
      </c>
      <c r="H434" s="47">
        <f t="shared" si="34"/>
        <v>0</v>
      </c>
      <c r="I434" s="47">
        <f t="shared" si="34"/>
        <v>0</v>
      </c>
      <c r="J434" s="47">
        <f t="shared" si="34"/>
        <v>46638</v>
      </c>
      <c r="K434" s="47">
        <f t="shared" si="34"/>
        <v>0</v>
      </c>
      <c r="L434" s="47">
        <f t="shared" si="34"/>
        <v>46638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5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229519</v>
      </c>
      <c r="G440" s="18">
        <f>484172-F440</f>
        <v>254653</v>
      </c>
      <c r="H440" s="18"/>
      <c r="I440" s="56">
        <f t="shared" si="35"/>
        <v>484172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5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5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5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5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5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229519</v>
      </c>
      <c r="G446" s="13">
        <f>SUM(G439:G445)</f>
        <v>254653</v>
      </c>
      <c r="H446" s="13">
        <f>SUM(H439:H445)</f>
        <v>0</v>
      </c>
      <c r="I446" s="13">
        <f>SUM(I439:I445)</f>
        <v>484172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6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6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6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6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6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229519</v>
      </c>
      <c r="G459" s="18">
        <v>254653</v>
      </c>
      <c r="H459" s="18"/>
      <c r="I459" s="56">
        <f t="shared" si="36"/>
        <v>484172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229519</v>
      </c>
      <c r="G460" s="83">
        <f>SUM(G454:G459)</f>
        <v>254653</v>
      </c>
      <c r="H460" s="83">
        <f>SUM(H454:H459)</f>
        <v>0</v>
      </c>
      <c r="I460" s="83">
        <f>SUM(I454:I459)</f>
        <v>484172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229519</v>
      </c>
      <c r="G461" s="42">
        <f>G452+G460</f>
        <v>254653</v>
      </c>
      <c r="H461" s="42">
        <f>H452+H460</f>
        <v>0</v>
      </c>
      <c r="I461" s="42">
        <f>I452+I460</f>
        <v>484172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1024259</v>
      </c>
      <c r="G465" s="18"/>
      <c r="H465" s="18"/>
      <c r="I465" s="18"/>
      <c r="J465" s="18">
        <v>468907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17007084</v>
      </c>
      <c r="G468" s="18">
        <f>G193</f>
        <v>404949</v>
      </c>
      <c r="H468" s="18">
        <f>H193</f>
        <v>385005</v>
      </c>
      <c r="I468" s="18"/>
      <c r="J468" s="18">
        <f>L408</f>
        <v>61903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17007084</v>
      </c>
      <c r="G470" s="53">
        <f>SUM(G468:G469)</f>
        <v>404949</v>
      </c>
      <c r="H470" s="53">
        <f>SUM(H468:H469)</f>
        <v>385005</v>
      </c>
      <c r="I470" s="53">
        <f>SUM(I468:I469)</f>
        <v>0</v>
      </c>
      <c r="J470" s="53">
        <f>SUM(J468:J469)</f>
        <v>61903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17002631</v>
      </c>
      <c r="G472" s="18">
        <f>L362</f>
        <v>404949</v>
      </c>
      <c r="H472" s="18">
        <f>L352</f>
        <v>385005</v>
      </c>
      <c r="I472" s="18"/>
      <c r="J472" s="18">
        <f>L434</f>
        <v>46638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17002631</v>
      </c>
      <c r="G474" s="53">
        <f>SUM(G472:G473)</f>
        <v>404949</v>
      </c>
      <c r="H474" s="53">
        <f>SUM(H472:H473)</f>
        <v>385005</v>
      </c>
      <c r="I474" s="53">
        <f>SUM(I472:I473)</f>
        <v>0</v>
      </c>
      <c r="J474" s="53">
        <f>SUM(J472:J473)</f>
        <v>46638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1028712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484172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4745000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275" t="s">
        <v>915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1050000</v>
      </c>
      <c r="G495" s="18"/>
      <c r="H495" s="18"/>
      <c r="I495" s="18"/>
      <c r="J495" s="18"/>
      <c r="K495" s="53">
        <f>SUM(F495:J495)</f>
        <v>1050000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7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510000</v>
      </c>
      <c r="G497" s="18"/>
      <c r="H497" s="18"/>
      <c r="I497" s="18"/>
      <c r="J497" s="18"/>
      <c r="K497" s="53">
        <f t="shared" si="37"/>
        <v>510000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540000</v>
      </c>
      <c r="G498" s="204"/>
      <c r="H498" s="204"/>
      <c r="I498" s="204"/>
      <c r="J498" s="204"/>
      <c r="K498" s="205">
        <f t="shared" si="37"/>
        <v>540000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50950-37450</f>
        <v>13500</v>
      </c>
      <c r="G499" s="18"/>
      <c r="H499" s="18"/>
      <c r="I499" s="18"/>
      <c r="J499" s="18"/>
      <c r="K499" s="53">
        <f t="shared" si="37"/>
        <v>13500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553500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7"/>
        <v>553500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540000</v>
      </c>
      <c r="G501" s="204"/>
      <c r="H501" s="204"/>
      <c r="I501" s="204"/>
      <c r="J501" s="204"/>
      <c r="K501" s="205">
        <f t="shared" si="37"/>
        <v>540000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13500</v>
      </c>
      <c r="G502" s="18"/>
      <c r="H502" s="18"/>
      <c r="I502" s="18"/>
      <c r="J502" s="18"/>
      <c r="K502" s="53">
        <f t="shared" si="37"/>
        <v>13500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553500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7"/>
        <v>553500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89961</v>
      </c>
      <c r="G507" s="144">
        <f>100722-F507</f>
        <v>10761</v>
      </c>
      <c r="H507" s="144"/>
      <c r="I507" s="144">
        <f>F507+G507-H507</f>
        <v>100722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>
        <v>49270</v>
      </c>
      <c r="G511" s="24" t="s">
        <v>288</v>
      </c>
      <c r="H511" s="18">
        <v>49270</v>
      </c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>
        <v>589377</v>
      </c>
      <c r="G512" s="24" t="s">
        <v>288</v>
      </c>
      <c r="H512" s="18">
        <v>589377</v>
      </c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16850806</v>
      </c>
      <c r="G513" s="24" t="s">
        <v>288</v>
      </c>
      <c r="H513" s="18">
        <v>16850806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833327</v>
      </c>
      <c r="G514" s="24" t="s">
        <v>288</v>
      </c>
      <c r="H514" s="18">
        <f>18319800-17489453</f>
        <v>830347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>
        <v>18332780</v>
      </c>
      <c r="H516" s="24" t="s">
        <v>288</v>
      </c>
      <c r="I516" s="18">
        <v>18319800</v>
      </c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18322780</v>
      </c>
      <c r="G517" s="42">
        <f>SUM(G511:G516)</f>
        <v>18332780</v>
      </c>
      <c r="H517" s="42">
        <f>SUM(H511:H516)</f>
        <v>18319800</v>
      </c>
      <c r="I517" s="42">
        <f>SUM(I511:I516)</f>
        <v>18319800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1210520</v>
      </c>
      <c r="G521" s="18">
        <v>410026</v>
      </c>
      <c r="H521" s="18">
        <v>165171</v>
      </c>
      <c r="I521" s="18">
        <v>9635</v>
      </c>
      <c r="J521" s="18">
        <v>3983</v>
      </c>
      <c r="K521" s="18"/>
      <c r="L521" s="88">
        <f>SUM(F521:K521)</f>
        <v>1799335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298844</v>
      </c>
      <c r="G522" s="18">
        <v>136151</v>
      </c>
      <c r="H522" s="18">
        <v>57217</v>
      </c>
      <c r="I522" s="18">
        <v>3900</v>
      </c>
      <c r="J522" s="18">
        <v>1150</v>
      </c>
      <c r="K522" s="18"/>
      <c r="L522" s="88">
        <f>SUM(F522:K522)</f>
        <v>497262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493247</v>
      </c>
      <c r="G523" s="18">
        <v>210488</v>
      </c>
      <c r="H523" s="18">
        <v>95063</v>
      </c>
      <c r="I523" s="18">
        <v>7339</v>
      </c>
      <c r="J523" s="18">
        <v>2675</v>
      </c>
      <c r="K523" s="18"/>
      <c r="L523" s="88">
        <f>SUM(F523:K523)</f>
        <v>808812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2002611</v>
      </c>
      <c r="G524" s="108">
        <f t="shared" ref="G524:L524" si="38">SUM(G521:G523)</f>
        <v>756665</v>
      </c>
      <c r="H524" s="108">
        <f t="shared" si="38"/>
        <v>317451</v>
      </c>
      <c r="I524" s="108">
        <f t="shared" si="38"/>
        <v>20874</v>
      </c>
      <c r="J524" s="108">
        <f t="shared" si="38"/>
        <v>7808</v>
      </c>
      <c r="K524" s="108">
        <f t="shared" si="38"/>
        <v>0</v>
      </c>
      <c r="L524" s="89">
        <f t="shared" si="38"/>
        <v>3105409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136705+61774+149063</f>
        <v>347542</v>
      </c>
      <c r="G526" s="18">
        <v>159728</v>
      </c>
      <c r="H526" s="18">
        <f>6499+4526</f>
        <v>11025</v>
      </c>
      <c r="I526" s="18">
        <f>402+1562+1216</f>
        <v>3180</v>
      </c>
      <c r="J526" s="18">
        <f>71+418+184</f>
        <v>673</v>
      </c>
      <c r="K526" s="18"/>
      <c r="L526" s="88">
        <f>SUM(F526:K526)</f>
        <v>522148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38744+21369+3728</f>
        <v>63841</v>
      </c>
      <c r="G527" s="18">
        <f>16941+7614+1810</f>
        <v>26365</v>
      </c>
      <c r="H527" s="18">
        <f>2248+1566</f>
        <v>3814</v>
      </c>
      <c r="I527" s="18">
        <f>321+540</f>
        <v>861</v>
      </c>
      <c r="J527" s="18">
        <f>145+64</f>
        <v>209</v>
      </c>
      <c r="K527" s="18"/>
      <c r="L527" s="88">
        <f>SUM(F527:K527)</f>
        <v>95090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120880+34943+14817</f>
        <v>170640</v>
      </c>
      <c r="G528" s="18">
        <f>55778+12451+7215</f>
        <v>75444</v>
      </c>
      <c r="H528" s="18">
        <f>3677+2560</f>
        <v>6237</v>
      </c>
      <c r="I528" s="18">
        <f>2670+883</f>
        <v>3553</v>
      </c>
      <c r="J528" s="18">
        <f>237+8968</f>
        <v>9205</v>
      </c>
      <c r="K528" s="18">
        <v>670</v>
      </c>
      <c r="L528" s="88">
        <f>SUM(F528:K528)</f>
        <v>265749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582023</v>
      </c>
      <c r="G529" s="89">
        <f t="shared" ref="G529:L529" si="39">SUM(G526:G528)</f>
        <v>261537</v>
      </c>
      <c r="H529" s="89">
        <f t="shared" si="39"/>
        <v>21076</v>
      </c>
      <c r="I529" s="89">
        <f t="shared" si="39"/>
        <v>7594</v>
      </c>
      <c r="J529" s="89">
        <f t="shared" si="39"/>
        <v>10087</v>
      </c>
      <c r="K529" s="89">
        <f t="shared" si="39"/>
        <v>670</v>
      </c>
      <c r="L529" s="89">
        <f t="shared" si="39"/>
        <v>882987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70611</v>
      </c>
      <c r="G531" s="18">
        <v>36029</v>
      </c>
      <c r="H531" s="18"/>
      <c r="I531" s="18">
        <v>687</v>
      </c>
      <c r="J531" s="18"/>
      <c r="K531" s="18"/>
      <c r="L531" s="88">
        <f>SUM(F531:K531)</f>
        <v>107327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24426</v>
      </c>
      <c r="G532" s="18">
        <v>12463</v>
      </c>
      <c r="H532" s="18"/>
      <c r="I532" s="18">
        <v>238</v>
      </c>
      <c r="J532" s="18"/>
      <c r="K532" s="18"/>
      <c r="L532" s="88">
        <f>SUM(F532:K532)</f>
        <v>37127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39942</v>
      </c>
      <c r="G533" s="18">
        <v>20379</v>
      </c>
      <c r="H533" s="18"/>
      <c r="I533" s="18">
        <v>389</v>
      </c>
      <c r="J533" s="18"/>
      <c r="K533" s="18"/>
      <c r="L533" s="88">
        <f>SUM(F533:K533)</f>
        <v>60710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134979</v>
      </c>
      <c r="G534" s="89">
        <f t="shared" ref="G534:L534" si="40">SUM(G531:G533)</f>
        <v>68871</v>
      </c>
      <c r="H534" s="89">
        <f t="shared" si="40"/>
        <v>0</v>
      </c>
      <c r="I534" s="89">
        <f t="shared" si="40"/>
        <v>1314</v>
      </c>
      <c r="J534" s="89">
        <f t="shared" si="40"/>
        <v>0</v>
      </c>
      <c r="K534" s="89">
        <f t="shared" si="40"/>
        <v>0</v>
      </c>
      <c r="L534" s="89">
        <f t="shared" si="40"/>
        <v>205164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975</v>
      </c>
      <c r="I536" s="18"/>
      <c r="J536" s="18"/>
      <c r="K536" s="18"/>
      <c r="L536" s="88">
        <f>SUM(F536:K536)</f>
        <v>975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337</v>
      </c>
      <c r="I537" s="18"/>
      <c r="J537" s="18"/>
      <c r="K537" s="18"/>
      <c r="L537" s="88">
        <f>SUM(F537:K537)</f>
        <v>337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552</v>
      </c>
      <c r="I538" s="18"/>
      <c r="J538" s="18"/>
      <c r="K538" s="18"/>
      <c r="L538" s="88">
        <f>SUM(F538:K538)</f>
        <v>552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1864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1864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12915</v>
      </c>
      <c r="G541" s="18">
        <v>14006</v>
      </c>
      <c r="H541" s="18">
        <v>61684</v>
      </c>
      <c r="I541" s="18">
        <v>2196</v>
      </c>
      <c r="J541" s="18">
        <v>5231</v>
      </c>
      <c r="K541" s="18">
        <v>202</v>
      </c>
      <c r="L541" s="88">
        <f>SUM(F541:K541)</f>
        <v>96234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4468</v>
      </c>
      <c r="G542" s="18">
        <v>4845</v>
      </c>
      <c r="H542" s="18">
        <v>21337</v>
      </c>
      <c r="I542" s="18">
        <v>760</v>
      </c>
      <c r="J542" s="18">
        <v>1810</v>
      </c>
      <c r="K542" s="18">
        <v>70</v>
      </c>
      <c r="L542" s="88">
        <f>SUM(F542:K542)</f>
        <v>33290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7306</v>
      </c>
      <c r="G543" s="18">
        <v>7922</v>
      </c>
      <c r="H543" s="18">
        <v>34892</v>
      </c>
      <c r="I543" s="18">
        <v>1242</v>
      </c>
      <c r="J543" s="18">
        <v>2959</v>
      </c>
      <c r="K543" s="18">
        <v>114</v>
      </c>
      <c r="L543" s="88">
        <f>SUM(F543:K543)</f>
        <v>54435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24689</v>
      </c>
      <c r="G544" s="193">
        <f t="shared" ref="G544:L544" si="42">SUM(G541:G543)</f>
        <v>26773</v>
      </c>
      <c r="H544" s="193">
        <f t="shared" si="42"/>
        <v>117913</v>
      </c>
      <c r="I544" s="193">
        <f t="shared" si="42"/>
        <v>4198</v>
      </c>
      <c r="J544" s="193">
        <f t="shared" si="42"/>
        <v>10000</v>
      </c>
      <c r="K544" s="193">
        <f t="shared" si="42"/>
        <v>386</v>
      </c>
      <c r="L544" s="193">
        <f t="shared" si="42"/>
        <v>183959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2744302</v>
      </c>
      <c r="G545" s="89">
        <f t="shared" ref="G545:L545" si="43">G524+G529+G534+G539+G544</f>
        <v>1113846</v>
      </c>
      <c r="H545" s="89">
        <f t="shared" si="43"/>
        <v>458304</v>
      </c>
      <c r="I545" s="89">
        <f t="shared" si="43"/>
        <v>33980</v>
      </c>
      <c r="J545" s="89">
        <f t="shared" si="43"/>
        <v>27895</v>
      </c>
      <c r="K545" s="89">
        <f t="shared" si="43"/>
        <v>1056</v>
      </c>
      <c r="L545" s="89">
        <f t="shared" si="43"/>
        <v>4379383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1799335</v>
      </c>
      <c r="G549" s="87">
        <f>L526</f>
        <v>522148</v>
      </c>
      <c r="H549" s="87">
        <f>L531</f>
        <v>107327</v>
      </c>
      <c r="I549" s="87">
        <f>L536</f>
        <v>975</v>
      </c>
      <c r="J549" s="87">
        <f>L541</f>
        <v>96234</v>
      </c>
      <c r="K549" s="87">
        <f>SUM(F549:J549)</f>
        <v>2526019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497262</v>
      </c>
      <c r="G550" s="87">
        <f>L527</f>
        <v>95090</v>
      </c>
      <c r="H550" s="87">
        <f>L532</f>
        <v>37127</v>
      </c>
      <c r="I550" s="87">
        <f>L537</f>
        <v>337</v>
      </c>
      <c r="J550" s="87">
        <f>L542</f>
        <v>33290</v>
      </c>
      <c r="K550" s="87">
        <f>SUM(F550:J550)</f>
        <v>663106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808812</v>
      </c>
      <c r="G551" s="87">
        <f>L528</f>
        <v>265749</v>
      </c>
      <c r="H551" s="87">
        <f>L533</f>
        <v>60710</v>
      </c>
      <c r="I551" s="87">
        <f>L538</f>
        <v>552</v>
      </c>
      <c r="J551" s="87">
        <f>L543</f>
        <v>54435</v>
      </c>
      <c r="K551" s="87">
        <f>SUM(F551:J551)</f>
        <v>1190258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4">SUM(F549:F551)</f>
        <v>3105409</v>
      </c>
      <c r="G552" s="89">
        <f t="shared" si="44"/>
        <v>882987</v>
      </c>
      <c r="H552" s="89">
        <f t="shared" si="44"/>
        <v>205164</v>
      </c>
      <c r="I552" s="89">
        <f t="shared" si="44"/>
        <v>1864</v>
      </c>
      <c r="J552" s="89">
        <f t="shared" si="44"/>
        <v>183959</v>
      </c>
      <c r="K552" s="89">
        <f t="shared" si="44"/>
        <v>4379383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>
        <v>25</v>
      </c>
      <c r="H562" s="18">
        <v>865</v>
      </c>
      <c r="I562" s="18"/>
      <c r="J562" s="18"/>
      <c r="K562" s="18"/>
      <c r="L562" s="88">
        <f>SUM(F562:K562)</f>
        <v>890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>
        <v>9</v>
      </c>
      <c r="H563" s="18">
        <v>299</v>
      </c>
      <c r="I563" s="18"/>
      <c r="J563" s="18"/>
      <c r="K563" s="18"/>
      <c r="L563" s="88">
        <f>SUM(F563:K563)</f>
        <v>308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>
        <v>15</v>
      </c>
      <c r="H564" s="18">
        <v>499</v>
      </c>
      <c r="I564" s="18"/>
      <c r="J564" s="18"/>
      <c r="K564" s="18"/>
      <c r="L564" s="88">
        <f>SUM(F564:K564)</f>
        <v>514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6">SUM(F562:F564)</f>
        <v>0</v>
      </c>
      <c r="G565" s="89">
        <f t="shared" si="46"/>
        <v>49</v>
      </c>
      <c r="H565" s="89">
        <f t="shared" si="46"/>
        <v>1663</v>
      </c>
      <c r="I565" s="89">
        <f t="shared" si="46"/>
        <v>0</v>
      </c>
      <c r="J565" s="89">
        <f t="shared" si="46"/>
        <v>0</v>
      </c>
      <c r="K565" s="89">
        <f t="shared" si="46"/>
        <v>0</v>
      </c>
      <c r="L565" s="89">
        <f t="shared" si="46"/>
        <v>1712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8">G560+G565+G570</f>
        <v>49</v>
      </c>
      <c r="H571" s="89">
        <f t="shared" si="48"/>
        <v>1663</v>
      </c>
      <c r="I571" s="89">
        <f t="shared" si="48"/>
        <v>0</v>
      </c>
      <c r="J571" s="89">
        <f t="shared" si="48"/>
        <v>0</v>
      </c>
      <c r="K571" s="89">
        <f t="shared" si="48"/>
        <v>0</v>
      </c>
      <c r="L571" s="89">
        <f t="shared" si="48"/>
        <v>1712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9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24402</v>
      </c>
      <c r="G579" s="18">
        <v>8441</v>
      </c>
      <c r="H579" s="18">
        <v>13804</v>
      </c>
      <c r="I579" s="87">
        <f t="shared" si="49"/>
        <v>46647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9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77400</v>
      </c>
      <c r="G582" s="18">
        <v>26774</v>
      </c>
      <c r="H582" s="18">
        <v>43782</v>
      </c>
      <c r="I582" s="87">
        <f t="shared" si="49"/>
        <v>147956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3707</v>
      </c>
      <c r="G583" s="18">
        <v>1283</v>
      </c>
      <c r="H583" s="18">
        <v>2138</v>
      </c>
      <c r="I583" s="87">
        <f t="shared" si="49"/>
        <v>7128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29613</v>
      </c>
      <c r="I584" s="87">
        <f t="shared" si="49"/>
        <v>29613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9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239269</v>
      </c>
      <c r="I591" s="18">
        <v>81831</v>
      </c>
      <c r="J591" s="18">
        <v>136385</v>
      </c>
      <c r="K591" s="104">
        <f t="shared" ref="K591:K597" si="50">SUM(H591:J591)</f>
        <v>457485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90459</v>
      </c>
      <c r="I592" s="18">
        <v>31313</v>
      </c>
      <c r="J592" s="18">
        <v>52188</v>
      </c>
      <c r="K592" s="104">
        <f t="shared" si="50"/>
        <v>173960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23174</v>
      </c>
      <c r="K593" s="104">
        <f t="shared" si="50"/>
        <v>23174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15828</v>
      </c>
      <c r="J594" s="18">
        <v>45002</v>
      </c>
      <c r="K594" s="104">
        <f t="shared" si="50"/>
        <v>60830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2895</v>
      </c>
      <c r="I595" s="18">
        <v>429</v>
      </c>
      <c r="J595" s="18">
        <v>2410</v>
      </c>
      <c r="K595" s="104">
        <f t="shared" si="50"/>
        <v>5734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332623</v>
      </c>
      <c r="I598" s="108">
        <f>SUM(I591:I597)</f>
        <v>129401</v>
      </c>
      <c r="J598" s="108">
        <f>SUM(J591:J597)</f>
        <v>259159</v>
      </c>
      <c r="K598" s="108">
        <f>SUM(K591:K597)</f>
        <v>721183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56408+13329</f>
        <v>69737</v>
      </c>
      <c r="I604" s="18">
        <f>25264+2636</f>
        <v>27900</v>
      </c>
      <c r="J604" s="18">
        <f>68950+4259</f>
        <v>73209</v>
      </c>
      <c r="K604" s="104">
        <f>SUM(H604:J604)</f>
        <v>170846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69737</v>
      </c>
      <c r="I605" s="108">
        <f>SUM(I602:I604)</f>
        <v>27900</v>
      </c>
      <c r="J605" s="108">
        <f>SUM(J602:J604)</f>
        <v>73209</v>
      </c>
      <c r="K605" s="108">
        <f>SUM(K602:K604)</f>
        <v>170846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22422+751+217+1119+690</f>
        <v>25199</v>
      </c>
      <c r="G611" s="18">
        <f>4471+61+51+91+125-1</f>
        <v>4798</v>
      </c>
      <c r="H611" s="18"/>
      <c r="I611" s="18"/>
      <c r="J611" s="18"/>
      <c r="K611" s="18"/>
      <c r="L611" s="88">
        <f>SUM(F611:K611)</f>
        <v>29997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7756+260+387+239</f>
        <v>8642</v>
      </c>
      <c r="G612" s="18">
        <f>1546+21+31+43</f>
        <v>1641</v>
      </c>
      <c r="H612" s="18"/>
      <c r="I612" s="18"/>
      <c r="J612" s="18"/>
      <c r="K612" s="18"/>
      <c r="L612" s="88">
        <f>SUM(F612:K612)</f>
        <v>10283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f>42862+1436+217+2139+1318-33841</f>
        <v>14131</v>
      </c>
      <c r="G613" s="18">
        <f>8546+116+51+173+239-6439</f>
        <v>2686</v>
      </c>
      <c r="H613" s="18"/>
      <c r="I613" s="18"/>
      <c r="J613" s="18"/>
      <c r="K613" s="18"/>
      <c r="L613" s="88">
        <f>SUM(F613:K613)</f>
        <v>16817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1">SUM(F611:F613)</f>
        <v>47972</v>
      </c>
      <c r="G614" s="108">
        <f t="shared" si="51"/>
        <v>9125</v>
      </c>
      <c r="H614" s="108">
        <f t="shared" si="51"/>
        <v>0</v>
      </c>
      <c r="I614" s="108">
        <f t="shared" si="51"/>
        <v>0</v>
      </c>
      <c r="J614" s="108">
        <f t="shared" si="51"/>
        <v>0</v>
      </c>
      <c r="K614" s="108">
        <f t="shared" si="51"/>
        <v>0</v>
      </c>
      <c r="L614" s="89">
        <f t="shared" si="51"/>
        <v>57097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1229330</v>
      </c>
      <c r="H617" s="109">
        <f>SUM(F52)</f>
        <v>1229330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16213</v>
      </c>
      <c r="H618" s="109">
        <f>SUM(G52)</f>
        <v>16213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84288</v>
      </c>
      <c r="H619" s="109">
        <f>SUM(H52)</f>
        <v>84288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484172</v>
      </c>
      <c r="H621" s="109">
        <f>SUM(J52)</f>
        <v>484172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1028712</v>
      </c>
      <c r="H622" s="109">
        <f>F476</f>
        <v>1028712</v>
      </c>
      <c r="I622" s="121" t="s">
        <v>101</v>
      </c>
      <c r="J622" s="109">
        <f t="shared" ref="J622:J655" si="52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484172</v>
      </c>
      <c r="H626" s="109">
        <f>J476</f>
        <v>484172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17007084</v>
      </c>
      <c r="H627" s="104">
        <f>SUM(F468)</f>
        <v>17007084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404949</v>
      </c>
      <c r="H628" s="104">
        <f>SUM(G468)</f>
        <v>404949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385005</v>
      </c>
      <c r="H629" s="104">
        <f>SUM(H468)</f>
        <v>385005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61903</v>
      </c>
      <c r="H631" s="104">
        <f>SUM(J468)</f>
        <v>61903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17002631</v>
      </c>
      <c r="H632" s="104">
        <f>SUM(F472)</f>
        <v>17002631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385005</v>
      </c>
      <c r="H633" s="104">
        <f>SUM(H472)</f>
        <v>385005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157781</v>
      </c>
      <c r="H634" s="104">
        <f>I369</f>
        <v>157781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404949</v>
      </c>
      <c r="H635" s="104">
        <f>SUM(G472)</f>
        <v>404949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61903</v>
      </c>
      <c r="H637" s="164">
        <f>SUM(J468)</f>
        <v>61903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46638</v>
      </c>
      <c r="H638" s="164">
        <f>SUM(J472)</f>
        <v>46638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229519</v>
      </c>
      <c r="H639" s="104">
        <f>SUM(F461)</f>
        <v>229519</v>
      </c>
      <c r="I639" s="140" t="s">
        <v>856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254653</v>
      </c>
      <c r="H640" s="104">
        <f>SUM(G461)</f>
        <v>254653</v>
      </c>
      <c r="I640" s="140" t="s">
        <v>857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484172</v>
      </c>
      <c r="H642" s="104">
        <f>SUM(I461)</f>
        <v>484172</v>
      </c>
      <c r="I642" s="140" t="s">
        <v>859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1903</v>
      </c>
      <c r="H644" s="104">
        <f>H408</f>
        <v>1903</v>
      </c>
      <c r="I644" s="140" t="s">
        <v>480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60000</v>
      </c>
      <c r="H645" s="104">
        <f>G408</f>
        <v>60000</v>
      </c>
      <c r="I645" s="140" t="s">
        <v>481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61903</v>
      </c>
      <c r="H646" s="104">
        <f>L408</f>
        <v>61903</v>
      </c>
      <c r="I646" s="140" t="s">
        <v>477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721183</v>
      </c>
      <c r="H647" s="104">
        <f>L208+L226+L244</f>
        <v>721183</v>
      </c>
      <c r="I647" s="140" t="s">
        <v>396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170846</v>
      </c>
      <c r="H648" s="104">
        <f>(J257+J338)-(J255+J336)</f>
        <v>170846</v>
      </c>
      <c r="I648" s="140" t="s">
        <v>702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332623</v>
      </c>
      <c r="H649" s="104">
        <f>H598</f>
        <v>332623</v>
      </c>
      <c r="I649" s="140" t="s">
        <v>388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129401</v>
      </c>
      <c r="H650" s="104">
        <f>I598</f>
        <v>129401</v>
      </c>
      <c r="I650" s="140" t="s">
        <v>389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259159</v>
      </c>
      <c r="H651" s="104">
        <f>J598</f>
        <v>259159</v>
      </c>
      <c r="I651" s="140" t="s">
        <v>390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116617</v>
      </c>
      <c r="H652" s="104">
        <f>K263+K345</f>
        <v>116617</v>
      </c>
      <c r="I652" s="140" t="s">
        <v>397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3441</v>
      </c>
      <c r="H653" s="104">
        <f>K264</f>
        <v>3441</v>
      </c>
      <c r="I653" s="140" t="s">
        <v>398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60000</v>
      </c>
      <c r="H655" s="104">
        <f>K266+K347</f>
        <v>60000</v>
      </c>
      <c r="I655" s="140" t="s">
        <v>400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8632256</v>
      </c>
      <c r="G660" s="19">
        <f>(L229+L309+L359)</f>
        <v>2734975</v>
      </c>
      <c r="H660" s="19">
        <f>(L247+L328+L360)</f>
        <v>5682181</v>
      </c>
      <c r="I660" s="19">
        <f>SUM(F660:H660)</f>
        <v>17049412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104206.78113540224</v>
      </c>
      <c r="G661" s="19">
        <f>(L359/IF(SUM(L358:L360)=0,1,SUM(L358:L360))*(SUM(G97:G110)))</f>
        <v>37719.154752820723</v>
      </c>
      <c r="H661" s="19">
        <f>(L360/IF(SUM(L358:L360)=0,1,SUM(L358:L360))*(SUM(G97:G110)))</f>
        <v>61816.064111777036</v>
      </c>
      <c r="I661" s="19">
        <f>SUM(F661:H661)</f>
        <v>203742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333623</v>
      </c>
      <c r="G662" s="19">
        <f>(L226+L306)-(J226+J306)</f>
        <v>129401</v>
      </c>
      <c r="H662" s="19">
        <f>(L244+L325)-(J244+J325)</f>
        <v>259159</v>
      </c>
      <c r="I662" s="19">
        <f>SUM(F662:H662)</f>
        <v>722183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205243</v>
      </c>
      <c r="G663" s="199">
        <f>SUM(G575:G587)+SUM(I602:I604)+L612</f>
        <v>74681</v>
      </c>
      <c r="H663" s="199">
        <f>SUM(H575:H587)+SUM(J602:J604)+L613</f>
        <v>179363</v>
      </c>
      <c r="I663" s="19">
        <f>SUM(F663:H663)</f>
        <v>459287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7989183.2188645974</v>
      </c>
      <c r="G664" s="19">
        <f>G660-SUM(G661:G663)</f>
        <v>2493173.8452471793</v>
      </c>
      <c r="H664" s="19">
        <f>H660-SUM(H661:H663)</f>
        <v>5181842.9358882234</v>
      </c>
      <c r="I664" s="19">
        <f>I660-SUM(I661:I663)</f>
        <v>15664200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253.47+215.86</f>
        <v>469.33000000000004</v>
      </c>
      <c r="G665" s="248">
        <v>162.35</v>
      </c>
      <c r="H665" s="248">
        <v>266.92</v>
      </c>
      <c r="I665" s="19">
        <f>SUM(F665:H665)</f>
        <v>898.60000000000014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17022.53</v>
      </c>
      <c r="G667" s="19">
        <f>ROUND(G664/G665,2)</f>
        <v>15356.78</v>
      </c>
      <c r="H667" s="19">
        <f>ROUND(H664/H665,2)</f>
        <v>19413.47</v>
      </c>
      <c r="I667" s="19">
        <f>ROUND(I664/I665,2)</f>
        <v>17431.78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-5</v>
      </c>
      <c r="I670" s="19">
        <f>SUM(F670:H670)</f>
        <v>-5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17022.53</v>
      </c>
      <c r="G672" s="19">
        <f>ROUND((G664+G669)/(G665+G670),2)</f>
        <v>15356.78</v>
      </c>
      <c r="H672" s="19">
        <f>ROUND((H664+H669)/(H665+H670),2)</f>
        <v>19784.07</v>
      </c>
      <c r="I672" s="19">
        <f>ROUND((I664+I669)/(I665+I670),2)</f>
        <v>17529.32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HOPKINTON SCHOOL DISTRICT SAU 66</v>
      </c>
      <c r="C1" s="238" t="s">
        <v>838</v>
      </c>
    </row>
    <row r="2" spans="1:3" x14ac:dyDescent="0.2">
      <c r="A2" s="233"/>
      <c r="B2" s="232"/>
    </row>
    <row r="3" spans="1:3" x14ac:dyDescent="0.2">
      <c r="A3" s="279" t="s">
        <v>783</v>
      </c>
      <c r="B3" s="279"/>
      <c r="C3" s="279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782</v>
      </c>
      <c r="C6" s="278"/>
    </row>
    <row r="7" spans="1:3" x14ac:dyDescent="0.2">
      <c r="A7" s="239" t="s">
        <v>785</v>
      </c>
      <c r="B7" s="276" t="s">
        <v>781</v>
      </c>
      <c r="C7" s="277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4666268</v>
      </c>
      <c r="C9" s="229">
        <f>'DOE25'!G197+'DOE25'!G215+'DOE25'!G233+'DOE25'!G276+'DOE25'!G295+'DOE25'!G314</f>
        <v>2197031</v>
      </c>
    </row>
    <row r="10" spans="1:3" x14ac:dyDescent="0.2">
      <c r="A10" t="s">
        <v>778</v>
      </c>
      <c r="B10" s="240">
        <v>4545384</v>
      </c>
      <c r="C10" s="240">
        <v>2151575</v>
      </c>
    </row>
    <row r="11" spans="1:3" x14ac:dyDescent="0.2">
      <c r="A11" t="s">
        <v>779</v>
      </c>
      <c r="B11" s="240">
        <f>26357+12918</f>
        <v>39275</v>
      </c>
      <c r="C11" s="240">
        <f>11187+965+226+50+50+100+801+187+100+100+100</f>
        <v>13866</v>
      </c>
    </row>
    <row r="12" spans="1:3" x14ac:dyDescent="0.2">
      <c r="A12" t="s">
        <v>780</v>
      </c>
      <c r="B12" s="240">
        <v>81609</v>
      </c>
      <c r="C12" s="240">
        <v>31590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4666268</v>
      </c>
      <c r="C13" s="231">
        <f>SUM(C10:C12)</f>
        <v>2197031</v>
      </c>
    </row>
    <row r="14" spans="1:3" x14ac:dyDescent="0.2">
      <c r="B14" s="230"/>
      <c r="C14" s="230"/>
    </row>
    <row r="15" spans="1:3" x14ac:dyDescent="0.2">
      <c r="B15" s="278" t="s">
        <v>782</v>
      </c>
      <c r="C15" s="278"/>
    </row>
    <row r="16" spans="1:3" x14ac:dyDescent="0.2">
      <c r="A16" s="239" t="s">
        <v>786</v>
      </c>
      <c r="B16" s="276" t="s">
        <v>706</v>
      </c>
      <c r="C16" s="277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2002611</v>
      </c>
      <c r="C18" s="229">
        <f>'DOE25'!G198+'DOE25'!G216+'DOE25'!G234+'DOE25'!G277+'DOE25'!G296+'DOE25'!G315</f>
        <v>756665</v>
      </c>
    </row>
    <row r="19" spans="1:3" x14ac:dyDescent="0.2">
      <c r="A19" t="s">
        <v>778</v>
      </c>
      <c r="B19" s="240">
        <v>1086155</v>
      </c>
      <c r="C19" s="240">
        <v>517110</v>
      </c>
    </row>
    <row r="20" spans="1:3" x14ac:dyDescent="0.2">
      <c r="A20" t="s">
        <v>779</v>
      </c>
      <c r="B20" s="240">
        <f>913664+2792</f>
        <v>916456</v>
      </c>
      <c r="C20" s="240">
        <f>238646+909</f>
        <v>239555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2002611</v>
      </c>
      <c r="C22" s="231">
        <f>SUM(C19:C21)</f>
        <v>756665</v>
      </c>
    </row>
    <row r="23" spans="1:3" x14ac:dyDescent="0.2">
      <c r="B23" s="230"/>
      <c r="C23" s="230"/>
    </row>
    <row r="24" spans="1:3" x14ac:dyDescent="0.2">
      <c r="B24" s="278" t="s">
        <v>782</v>
      </c>
      <c r="C24" s="278"/>
    </row>
    <row r="25" spans="1:3" x14ac:dyDescent="0.2">
      <c r="A25" s="239" t="s">
        <v>787</v>
      </c>
      <c r="B25" s="276" t="s">
        <v>707</v>
      </c>
      <c r="C25" s="277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782</v>
      </c>
      <c r="C33" s="278"/>
    </row>
    <row r="34" spans="1:3" x14ac:dyDescent="0.2">
      <c r="A34" s="239" t="s">
        <v>788</v>
      </c>
      <c r="B34" s="276" t="s">
        <v>708</v>
      </c>
      <c r="C34" s="277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224623</v>
      </c>
      <c r="C36" s="235">
        <f>'DOE25'!G200+'DOE25'!G218+'DOE25'!G236+'DOE25'!G279+'DOE25'!G298+'DOE25'!G317</f>
        <v>47691</v>
      </c>
    </row>
    <row r="37" spans="1:3" x14ac:dyDescent="0.2">
      <c r="A37" t="s">
        <v>778</v>
      </c>
      <c r="B37" s="240">
        <v>224623</v>
      </c>
      <c r="C37" s="240">
        <v>47691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224623</v>
      </c>
      <c r="C40" s="231">
        <f>SUM(C37:C39)</f>
        <v>47691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6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789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716</v>
      </c>
      <c r="B2" s="265" t="str">
        <f>'DOE25'!A2</f>
        <v>HOPKINTON SCHOOL DISTRICT SAU 66</v>
      </c>
      <c r="C2" s="181"/>
      <c r="D2" s="181" t="s">
        <v>791</v>
      </c>
      <c r="E2" s="181" t="s">
        <v>793</v>
      </c>
      <c r="F2" s="280" t="s">
        <v>820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10328448</v>
      </c>
      <c r="D5" s="20">
        <f>SUM('DOE25'!L197:L200)+SUM('DOE25'!L215:L218)+SUM('DOE25'!L233:L236)-F5-G5</f>
        <v>10271392</v>
      </c>
      <c r="E5" s="243"/>
      <c r="F5" s="255">
        <f>SUM('DOE25'!J197:J200)+SUM('DOE25'!J215:J218)+SUM('DOE25'!J233:J236)</f>
        <v>48629</v>
      </c>
      <c r="G5" s="53">
        <f>SUM('DOE25'!K197:K200)+SUM('DOE25'!K215:K218)+SUM('DOE25'!K233:K236)</f>
        <v>8427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1399875</v>
      </c>
      <c r="D6" s="20">
        <f>'DOE25'!L202+'DOE25'!L220+'DOE25'!L238-F6-G6</f>
        <v>1388866</v>
      </c>
      <c r="E6" s="243"/>
      <c r="F6" s="255">
        <f>'DOE25'!J202+'DOE25'!J220+'DOE25'!J238</f>
        <v>10339</v>
      </c>
      <c r="G6" s="53">
        <f>'DOE25'!K202+'DOE25'!K220+'DOE25'!K238</f>
        <v>670</v>
      </c>
      <c r="H6" s="259"/>
    </row>
    <row r="7" spans="1:9" x14ac:dyDescent="0.2">
      <c r="A7" s="32">
        <v>2200</v>
      </c>
      <c r="B7" t="s">
        <v>833</v>
      </c>
      <c r="C7" s="245">
        <f t="shared" si="0"/>
        <v>640456</v>
      </c>
      <c r="D7" s="20">
        <f>'DOE25'!L203+'DOE25'!L221+'DOE25'!L239-F7-G7</f>
        <v>562209</v>
      </c>
      <c r="E7" s="243"/>
      <c r="F7" s="255">
        <f>'DOE25'!J203+'DOE25'!J221+'DOE25'!J239</f>
        <v>58999</v>
      </c>
      <c r="G7" s="53">
        <f>'DOE25'!K203+'DOE25'!K221+'DOE25'!K239</f>
        <v>19248</v>
      </c>
      <c r="H7" s="259"/>
    </row>
    <row r="8" spans="1:9" x14ac:dyDescent="0.2">
      <c r="A8" s="32">
        <v>2300</v>
      </c>
      <c r="B8" t="s">
        <v>801</v>
      </c>
      <c r="C8" s="245">
        <f t="shared" si="0"/>
        <v>300208</v>
      </c>
      <c r="D8" s="243"/>
      <c r="E8" s="20">
        <f>'DOE25'!L204+'DOE25'!L222+'DOE25'!L240-F8-G8-D9-D11</f>
        <v>282990</v>
      </c>
      <c r="F8" s="255">
        <f>'DOE25'!J204+'DOE25'!J222+'DOE25'!J240</f>
        <v>117</v>
      </c>
      <c r="G8" s="53">
        <f>'DOE25'!K204+'DOE25'!K222+'DOE25'!K240</f>
        <v>17101</v>
      </c>
      <c r="H8" s="259"/>
    </row>
    <row r="9" spans="1:9" x14ac:dyDescent="0.2">
      <c r="A9" s="32">
        <v>2310</v>
      </c>
      <c r="B9" t="s">
        <v>817</v>
      </c>
      <c r="C9" s="245">
        <f t="shared" si="0"/>
        <v>16773</v>
      </c>
      <c r="D9" s="244">
        <v>16773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12600</v>
      </c>
      <c r="D10" s="243"/>
      <c r="E10" s="244">
        <v>12600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259644</v>
      </c>
      <c r="D11" s="244">
        <f>131800+50875+37297+4067+428+445+13177+18756+2000+190+609</f>
        <v>259644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876773</v>
      </c>
      <c r="D12" s="20">
        <f>'DOE25'!L205+'DOE25'!L223+'DOE25'!L241-F12-G12</f>
        <v>870610</v>
      </c>
      <c r="E12" s="243"/>
      <c r="F12" s="255">
        <f>'DOE25'!J205+'DOE25'!J223+'DOE25'!J241</f>
        <v>1702</v>
      </c>
      <c r="G12" s="53">
        <f>'DOE25'!K205+'DOE25'!K223+'DOE25'!K241</f>
        <v>4461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302153</v>
      </c>
      <c r="D13" s="243"/>
      <c r="E13" s="20">
        <f>'DOE25'!L206+'DOE25'!L224+'DOE25'!L242-F13-G13</f>
        <v>302153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1147461</v>
      </c>
      <c r="D14" s="20">
        <f>'DOE25'!L207+'DOE25'!L225+'DOE25'!L243-F14-G14</f>
        <v>1118772</v>
      </c>
      <c r="E14" s="243"/>
      <c r="F14" s="255">
        <f>'DOE25'!J207+'DOE25'!J225+'DOE25'!J243</f>
        <v>28689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721183</v>
      </c>
      <c r="D15" s="20">
        <f>'DOE25'!L208+'DOE25'!L226+'DOE25'!L244-F15-G15</f>
        <v>720713</v>
      </c>
      <c r="E15" s="243"/>
      <c r="F15" s="255">
        <f>'DOE25'!J208+'DOE25'!J226+'DOE25'!J244</f>
        <v>0</v>
      </c>
      <c r="G15" s="53">
        <f>'DOE25'!K208+'DOE25'!K226+'DOE25'!K244</f>
        <v>470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271198</v>
      </c>
      <c r="D16" s="243"/>
      <c r="E16" s="20">
        <f>'DOE25'!L209+'DOE25'!L227+'DOE25'!L245-F16-G16</f>
        <v>256380</v>
      </c>
      <c r="F16" s="255">
        <f>'DOE25'!J209+'DOE25'!J227+'DOE25'!J245</f>
        <v>2147</v>
      </c>
      <c r="G16" s="53">
        <f>'DOE25'!K209+'DOE25'!K227+'DOE25'!K245</f>
        <v>12671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10951</v>
      </c>
      <c r="D22" s="243"/>
      <c r="E22" s="243"/>
      <c r="F22" s="255">
        <f>'DOE25'!L255+'DOE25'!L336</f>
        <v>10951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547450</v>
      </c>
      <c r="D25" s="243"/>
      <c r="E25" s="243"/>
      <c r="F25" s="258"/>
      <c r="G25" s="256"/>
      <c r="H25" s="257">
        <f>'DOE25'!L260+'DOE25'!L261+'DOE25'!L341+'DOE25'!L342</f>
        <v>547450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255733</v>
      </c>
      <c r="D29" s="20">
        <f>'DOE25'!L358+'DOE25'!L359+'DOE25'!L360-'DOE25'!I367-F29-G29</f>
        <v>247066</v>
      </c>
      <c r="E29" s="243"/>
      <c r="F29" s="255">
        <f>'DOE25'!J358+'DOE25'!J359+'DOE25'!J360</f>
        <v>7973</v>
      </c>
      <c r="G29" s="53">
        <f>'DOE25'!K358+'DOE25'!K359+'DOE25'!K360</f>
        <v>694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384203</v>
      </c>
      <c r="D31" s="20">
        <f>'DOE25'!L290+'DOE25'!L309+'DOE25'!L328+'DOE25'!L333+'DOE25'!L334+'DOE25'!L335-F31-G31</f>
        <v>337353</v>
      </c>
      <c r="E31" s="243"/>
      <c r="F31" s="255">
        <f>'DOE25'!J290+'DOE25'!J309+'DOE25'!J328+'DOE25'!J333+'DOE25'!J334+'DOE25'!J335</f>
        <v>20224</v>
      </c>
      <c r="G31" s="53">
        <f>'DOE25'!K290+'DOE25'!K309+'DOE25'!K328+'DOE25'!K333+'DOE25'!K334+'DOE25'!K335</f>
        <v>26626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15793398</v>
      </c>
      <c r="E33" s="246">
        <f>SUM(E5:E31)</f>
        <v>854123</v>
      </c>
      <c r="F33" s="246">
        <f>SUM(F5:F31)</f>
        <v>189770</v>
      </c>
      <c r="G33" s="246">
        <f>SUM(G5:G31)</f>
        <v>90368</v>
      </c>
      <c r="H33" s="246">
        <f>SUM(H5:H31)</f>
        <v>547450</v>
      </c>
    </row>
    <row r="35" spans="2:8" ht="12" thickBot="1" x14ac:dyDescent="0.25">
      <c r="B35" s="253" t="s">
        <v>846</v>
      </c>
      <c r="D35" s="254">
        <f>E33</f>
        <v>854123</v>
      </c>
      <c r="E35" s="249"/>
    </row>
    <row r="36" spans="2:8" ht="12" thickTop="1" x14ac:dyDescent="0.2">
      <c r="B36" t="s">
        <v>814</v>
      </c>
      <c r="D36" s="20">
        <f>D33</f>
        <v>15793398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17" activePane="bottomLeft" state="frozen"/>
      <selection activeCell="F46" sqref="F46"/>
      <selection pane="bottomLeft" activeCell="A120" sqref="A12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HOPKINTON SCHOOL DISTRICT SAU 66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1134320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484172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39669</v>
      </c>
      <c r="D11" s="95">
        <f>'DOE25'!G12</f>
        <v>9768</v>
      </c>
      <c r="E11" s="95">
        <f>'DOE25'!H12</f>
        <v>38778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7234</v>
      </c>
      <c r="D12" s="95">
        <f>'DOE25'!G13</f>
        <v>5718</v>
      </c>
      <c r="E12" s="95">
        <f>'DOE25'!H13</f>
        <v>45510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37248</v>
      </c>
      <c r="D13" s="95">
        <f>'DOE25'!G14</f>
        <v>627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10859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1229330</v>
      </c>
      <c r="D18" s="41">
        <f>SUM(D8:D17)</f>
        <v>16213</v>
      </c>
      <c r="E18" s="41">
        <f>SUM(E8:E17)</f>
        <v>84288</v>
      </c>
      <c r="F18" s="41">
        <f>SUM(F8:F17)</f>
        <v>0</v>
      </c>
      <c r="G18" s="41">
        <f>SUM(G8:G17)</f>
        <v>484172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48547</v>
      </c>
      <c r="D21" s="95">
        <f>'DOE25'!G22</f>
        <v>0</v>
      </c>
      <c r="E21" s="95">
        <f>'DOE25'!H22</f>
        <v>39669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60380</v>
      </c>
      <c r="D23" s="95">
        <f>'DOE25'!G24</f>
        <v>367</v>
      </c>
      <c r="E23" s="95">
        <f>'DOE25'!H24</f>
        <v>2452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89524</v>
      </c>
      <c r="D27" s="95">
        <f>'DOE25'!G28</f>
        <v>3002</v>
      </c>
      <c r="E27" s="95">
        <f>'DOE25'!H28</f>
        <v>4455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2167</v>
      </c>
      <c r="D29" s="95">
        <f>'DOE25'!G30</f>
        <v>12844</v>
      </c>
      <c r="E29" s="95">
        <f>'DOE25'!H30</f>
        <v>37712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200618</v>
      </c>
      <c r="D31" s="41">
        <f>SUM(D21:D30)</f>
        <v>16213</v>
      </c>
      <c r="E31" s="41">
        <f>SUM(E21:E30)</f>
        <v>84288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10859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285334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12500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484172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23893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636126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1028712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484172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1229330</v>
      </c>
      <c r="D51" s="41">
        <f>D50+D31</f>
        <v>16213</v>
      </c>
      <c r="E51" s="41">
        <f>E50+E31</f>
        <v>84288</v>
      </c>
      <c r="F51" s="41">
        <f>F50+F31</f>
        <v>0</v>
      </c>
      <c r="G51" s="41">
        <f>G50+G31</f>
        <v>484172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12937683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113653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203739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70011</v>
      </c>
      <c r="D61" s="95">
        <f>SUM('DOE25'!G98:G110)</f>
        <v>3</v>
      </c>
      <c r="E61" s="95">
        <f>SUM('DOE25'!H98:H110)</f>
        <v>52991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183857</v>
      </c>
      <c r="D62" s="130">
        <f>SUM(D57:D61)</f>
        <v>203742</v>
      </c>
      <c r="E62" s="130">
        <f>SUM(E57:E61)</f>
        <v>52991</v>
      </c>
      <c r="F62" s="130">
        <f>SUM(F57:F61)</f>
        <v>0</v>
      </c>
      <c r="G62" s="130">
        <f>SUM(G57:G61)</f>
        <v>1903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13121540</v>
      </c>
      <c r="D63" s="22">
        <f>D56+D62</f>
        <v>203742</v>
      </c>
      <c r="E63" s="22">
        <f>E56+E62</f>
        <v>52991</v>
      </c>
      <c r="F63" s="22">
        <f>F56+F62</f>
        <v>0</v>
      </c>
      <c r="G63" s="22">
        <f>G56+G62</f>
        <v>1903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1979176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1475667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3832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3458675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164286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83695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3726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3325</v>
      </c>
      <c r="E77" s="95">
        <f>SUM('DOE25'!H131:H135)</f>
        <v>3877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251707</v>
      </c>
      <c r="D78" s="130">
        <f>SUM(D72:D77)</f>
        <v>3325</v>
      </c>
      <c r="E78" s="130">
        <f>SUM(E72:E77)</f>
        <v>3877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3710382</v>
      </c>
      <c r="D81" s="130">
        <f>SUM(D79:D80)+D78+D70</f>
        <v>3325</v>
      </c>
      <c r="E81" s="130">
        <f>SUM(E79:E80)+E78+E70</f>
        <v>3877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174549</v>
      </c>
      <c r="D88" s="95">
        <f>SUM('DOE25'!G153:G161)</f>
        <v>81265</v>
      </c>
      <c r="E88" s="95">
        <f>SUM('DOE25'!H153:H161)</f>
        <v>324696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174549</v>
      </c>
      <c r="D91" s="131">
        <f>SUM(D85:D90)</f>
        <v>81265</v>
      </c>
      <c r="E91" s="131">
        <f>SUM(E85:E90)</f>
        <v>324696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116617</v>
      </c>
      <c r="E96" s="95">
        <f>'DOE25'!H179</f>
        <v>3441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757</v>
      </c>
      <c r="B97" s="32" t="s">
        <v>188</v>
      </c>
      <c r="C97" s="95">
        <f>SUM('DOE25'!F180:F181)</f>
        <v>613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613</v>
      </c>
      <c r="D103" s="86">
        <f>SUM(D93:D102)</f>
        <v>116617</v>
      </c>
      <c r="E103" s="86">
        <f>SUM(E93:E102)</f>
        <v>3441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764</v>
      </c>
      <c r="C104" s="86">
        <f>C63+C81+C91+C103</f>
        <v>17007084</v>
      </c>
      <c r="D104" s="86">
        <f>D63+D81+D91+D103</f>
        <v>404949</v>
      </c>
      <c r="E104" s="86">
        <f>E63+E81+E91+E103</f>
        <v>385005</v>
      </c>
      <c r="F104" s="86">
        <f>F63+F81+F91+F103</f>
        <v>0</v>
      </c>
      <c r="G104" s="86">
        <f>G63+G81+G103</f>
        <v>61903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6994318</v>
      </c>
      <c r="D109" s="24" t="s">
        <v>288</v>
      </c>
      <c r="E109" s="95">
        <f>('DOE25'!L276)+('DOE25'!L295)+('DOE25'!L314)</f>
        <v>96346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2927119</v>
      </c>
      <c r="D110" s="24" t="s">
        <v>288</v>
      </c>
      <c r="E110" s="95">
        <f>('DOE25'!L277)+('DOE25'!L296)+('DOE25'!L315)</f>
        <v>178290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29613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377398</v>
      </c>
      <c r="D112" s="24" t="s">
        <v>288</v>
      </c>
      <c r="E112" s="95">
        <f>+('DOE25'!L279)+('DOE25'!L298)+('DOE25'!L317)</f>
        <v>7958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189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3912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10328448</v>
      </c>
      <c r="D115" s="86">
        <f>SUM(D109:D114)</f>
        <v>0</v>
      </c>
      <c r="E115" s="86">
        <f>SUM(E109:E114)</f>
        <v>286695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1399875</v>
      </c>
      <c r="D118" s="24" t="s">
        <v>288</v>
      </c>
      <c r="E118" s="95">
        <f>+('DOE25'!L281)+('DOE25'!L300)+('DOE25'!L319)</f>
        <v>1602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640456</v>
      </c>
      <c r="D119" s="24" t="s">
        <v>288</v>
      </c>
      <c r="E119" s="95">
        <f>+('DOE25'!L282)+('DOE25'!L301)+('DOE25'!L320)</f>
        <v>84090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576625</v>
      </c>
      <c r="D120" s="24" t="s">
        <v>288</v>
      </c>
      <c r="E120" s="95">
        <f>+('DOE25'!L283)+('DOE25'!L302)+('DOE25'!L321)</f>
        <v>1005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876773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302153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1147461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721183</v>
      </c>
      <c r="D124" s="24" t="s">
        <v>288</v>
      </c>
      <c r="E124" s="95">
        <f>+('DOE25'!L287)+('DOE25'!L306)+('DOE25'!L325)</f>
        <v>11000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271198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404949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5935724</v>
      </c>
      <c r="D128" s="86">
        <f>SUM(D118:D127)</f>
        <v>404949</v>
      </c>
      <c r="E128" s="86">
        <f>SUM(E118:E127)</f>
        <v>97697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10951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510000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37450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613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116617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3441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61721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182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-1903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738459</v>
      </c>
      <c r="D144" s="141">
        <f>SUM(D130:D143)</f>
        <v>0</v>
      </c>
      <c r="E144" s="141">
        <f>SUM(E130:E143)</f>
        <v>613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17002631</v>
      </c>
      <c r="D145" s="86">
        <f>(D115+D128+D144)</f>
        <v>404949</v>
      </c>
      <c r="E145" s="86">
        <f>(E115+E128+E144)</f>
        <v>385005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5/07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4745000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 t="str">
        <f>'DOE25'!F494</f>
        <v>3.5 - 5.0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1050000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510000</v>
      </c>
    </row>
    <row r="159" spans="1:9" x14ac:dyDescent="0.2">
      <c r="A159" s="22" t="s">
        <v>35</v>
      </c>
      <c r="B159" s="137">
        <f>'DOE25'!F498</f>
        <v>540000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540000</v>
      </c>
    </row>
    <row r="160" spans="1:9" x14ac:dyDescent="0.2">
      <c r="A160" s="22" t="s">
        <v>36</v>
      </c>
      <c r="B160" s="137">
        <f>'DOE25'!F499</f>
        <v>13500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13500</v>
      </c>
    </row>
    <row r="161" spans="1:7" x14ac:dyDescent="0.2">
      <c r="A161" s="22" t="s">
        <v>37</v>
      </c>
      <c r="B161" s="137">
        <f>'DOE25'!F500</f>
        <v>553500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553500</v>
      </c>
    </row>
    <row r="162" spans="1:7" x14ac:dyDescent="0.2">
      <c r="A162" s="22" t="s">
        <v>38</v>
      </c>
      <c r="B162" s="137">
        <f>'DOE25'!F501</f>
        <v>540000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540000</v>
      </c>
    </row>
    <row r="163" spans="1:7" x14ac:dyDescent="0.2">
      <c r="A163" s="22" t="s">
        <v>39</v>
      </c>
      <c r="B163" s="137">
        <f>'DOE25'!F502</f>
        <v>13500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13500</v>
      </c>
    </row>
    <row r="164" spans="1:7" x14ac:dyDescent="0.2">
      <c r="A164" s="22" t="s">
        <v>246</v>
      </c>
      <c r="B164" s="137">
        <f>'DOE25'!F503</f>
        <v>553500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553500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739</v>
      </c>
      <c r="B1" s="284"/>
      <c r="C1" s="284"/>
      <c r="D1" s="284"/>
    </row>
    <row r="2" spans="1:4" x14ac:dyDescent="0.2">
      <c r="A2" s="187" t="s">
        <v>716</v>
      </c>
      <c r="B2" s="186" t="str">
        <f>'DOE25'!A2</f>
        <v>HOPKINTON SCHOOL DISTRICT SAU 66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17023</v>
      </c>
    </row>
    <row r="5" spans="1:4" x14ac:dyDescent="0.2">
      <c r="B5" t="s">
        <v>703</v>
      </c>
      <c r="C5" s="179">
        <f>IF('DOE25'!G665+'DOE25'!G670=0,0,ROUND('DOE25'!G672,0))</f>
        <v>15357</v>
      </c>
    </row>
    <row r="6" spans="1:4" x14ac:dyDescent="0.2">
      <c r="B6" t="s">
        <v>62</v>
      </c>
      <c r="C6" s="179">
        <f>IF('DOE25'!H665+'DOE25'!H670=0,0,ROUND('DOE25'!H672,0))</f>
        <v>19784</v>
      </c>
    </row>
    <row r="7" spans="1:4" x14ac:dyDescent="0.2">
      <c r="B7" t="s">
        <v>704</v>
      </c>
      <c r="C7" s="179">
        <f>IF('DOE25'!I665+'DOE25'!I670=0,0,ROUND('DOE25'!I672,0))</f>
        <v>17529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7090664</v>
      </c>
      <c r="D10" s="182">
        <f>ROUND((C10/$C$28)*100,1)</f>
        <v>42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3105409</v>
      </c>
      <c r="D11" s="182">
        <f>ROUND((C11/$C$28)*100,1)</f>
        <v>18.399999999999999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29613</v>
      </c>
      <c r="D12" s="182">
        <f>ROUND((C12/$C$28)*100,1)</f>
        <v>0.2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385356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1401477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724546</v>
      </c>
      <c r="D16" s="182">
        <f t="shared" si="0"/>
        <v>4.3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848828</v>
      </c>
      <c r="D17" s="182">
        <f t="shared" si="0"/>
        <v>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876773</v>
      </c>
      <c r="D18" s="182">
        <f t="shared" si="0"/>
        <v>5.2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302153</v>
      </c>
      <c r="D19" s="182">
        <f t="shared" si="0"/>
        <v>1.8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1147461</v>
      </c>
      <c r="D20" s="182">
        <f t="shared" si="0"/>
        <v>6.8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732183</v>
      </c>
      <c r="D21" s="182">
        <f t="shared" si="0"/>
        <v>4.3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189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3912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37450</v>
      </c>
      <c r="D25" s="182">
        <f t="shared" si="0"/>
        <v>0.2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201207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16887221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10951</v>
      </c>
    </row>
    <row r="30" spans="1:4" x14ac:dyDescent="0.2">
      <c r="B30" s="187" t="s">
        <v>728</v>
      </c>
      <c r="C30" s="180">
        <f>SUM(C28:C29)</f>
        <v>16898172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510000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12937683</v>
      </c>
      <c r="D35" s="182">
        <f t="shared" ref="D35:D40" si="1">ROUND((C35/$C$41)*100,1)</f>
        <v>74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238751</v>
      </c>
      <c r="D36" s="182">
        <f t="shared" si="1"/>
        <v>1.4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3454843</v>
      </c>
      <c r="D37" s="182">
        <f t="shared" si="1"/>
        <v>19.8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262741</v>
      </c>
      <c r="D38" s="182">
        <f t="shared" si="1"/>
        <v>1.5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580510</v>
      </c>
      <c r="D39" s="182">
        <f t="shared" si="1"/>
        <v>3.3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17474528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769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766</v>
      </c>
      <c r="B2" s="296"/>
      <c r="C2" s="296"/>
      <c r="D2" s="296"/>
      <c r="E2" s="296"/>
      <c r="F2" s="293" t="str">
        <f>'DOE25'!A2</f>
        <v>HOPKINTON SCHOOL DISTRICT SAU 66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1" t="s">
        <v>770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847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2017-08-08T10:42:56Z</cp:lastPrinted>
  <dcterms:created xsi:type="dcterms:W3CDTF">1997-12-04T19:04:30Z</dcterms:created>
  <dcterms:modified xsi:type="dcterms:W3CDTF">2017-12-05T18:06:43Z</dcterms:modified>
</cp:coreProperties>
</file>