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4" i="1" l="1"/>
  <c r="C30" i="12" l="1"/>
  <c r="C29" i="12"/>
  <c r="C28" i="12"/>
  <c r="B29" i="12"/>
  <c r="B28" i="12"/>
  <c r="B30" i="12"/>
  <c r="C21" i="12"/>
  <c r="C20" i="12"/>
  <c r="C19" i="12"/>
  <c r="B20" i="12"/>
  <c r="B19" i="12"/>
  <c r="B21" i="12"/>
  <c r="C12" i="12"/>
  <c r="C11" i="12"/>
  <c r="C10" i="12"/>
  <c r="B12" i="12"/>
  <c r="B11" i="12"/>
  <c r="B10" i="12"/>
  <c r="G613" i="1"/>
  <c r="G612" i="1"/>
  <c r="G611" i="1"/>
  <c r="G582" i="1"/>
  <c r="J528" i="1" l="1"/>
  <c r="I528" i="1"/>
  <c r="H528" i="1"/>
  <c r="G528" i="1"/>
  <c r="F528" i="1"/>
  <c r="J527" i="1"/>
  <c r="I527" i="1"/>
  <c r="H527" i="1"/>
  <c r="G527" i="1"/>
  <c r="F527" i="1"/>
  <c r="J526" i="1"/>
  <c r="I526" i="1"/>
  <c r="H526" i="1"/>
  <c r="G526" i="1"/>
  <c r="F526" i="1"/>
  <c r="I507" i="1" l="1"/>
  <c r="J604" i="1" l="1"/>
  <c r="I604" i="1"/>
  <c r="H604" i="1"/>
  <c r="H591" i="1"/>
  <c r="J591" i="1"/>
  <c r="H333" i="1"/>
  <c r="J316" i="1"/>
  <c r="I316" i="1"/>
  <c r="H316" i="1"/>
  <c r="G316" i="1"/>
  <c r="F316" i="1"/>
  <c r="H368" i="1" l="1"/>
  <c r="H367" i="1"/>
  <c r="G368" i="1"/>
  <c r="G367" i="1"/>
  <c r="F368" i="1"/>
  <c r="F367" i="1"/>
  <c r="F360" i="1"/>
  <c r="K360" i="1"/>
  <c r="K359" i="1"/>
  <c r="K358" i="1"/>
  <c r="J360" i="1"/>
  <c r="J359" i="1"/>
  <c r="J358" i="1"/>
  <c r="I360" i="1"/>
  <c r="I359" i="1"/>
  <c r="I358" i="1"/>
  <c r="H360" i="1"/>
  <c r="H359" i="1"/>
  <c r="H358" i="1"/>
  <c r="G360" i="1"/>
  <c r="G359" i="1"/>
  <c r="G358" i="1"/>
  <c r="F359" i="1"/>
  <c r="F358" i="1"/>
  <c r="I225" i="1"/>
  <c r="H244" i="1" l="1"/>
  <c r="H243" i="1"/>
  <c r="H226" i="1"/>
  <c r="H208" i="1"/>
  <c r="J418" i="1" l="1"/>
  <c r="H418" i="1"/>
  <c r="J96" i="1"/>
  <c r="H400" i="1"/>
  <c r="H96" i="1"/>
  <c r="H110" i="1"/>
  <c r="H104" i="1"/>
  <c r="H468" i="1"/>
  <c r="G158" i="1"/>
  <c r="H9" i="1"/>
  <c r="H49" i="1"/>
  <c r="H48" i="1"/>
  <c r="H24" i="1"/>
  <c r="G439" i="1"/>
  <c r="J472" i="1"/>
  <c r="J468" i="1"/>
  <c r="G9" i="1" l="1"/>
  <c r="F110" i="1" l="1"/>
  <c r="F70" i="1"/>
  <c r="F63" i="1"/>
  <c r="F29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E112" i="2" s="1"/>
  <c r="L300" i="1"/>
  <c r="L301" i="1"/>
  <c r="L302" i="1"/>
  <c r="L303" i="1"/>
  <c r="L304" i="1"/>
  <c r="L305" i="1"/>
  <c r="L306" i="1"/>
  <c r="L307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F94" i="1"/>
  <c r="C58" i="2" s="1"/>
  <c r="F111" i="1"/>
  <c r="F112" i="1" s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F662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19" i="2"/>
  <c r="E120" i="2"/>
  <c r="E121" i="2"/>
  <c r="E122" i="2"/>
  <c r="E123" i="2"/>
  <c r="E124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3" i="1"/>
  <c r="J643" i="1" s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L351" i="1"/>
  <c r="D62" i="2"/>
  <c r="D18" i="13"/>
  <c r="C18" i="13" s="1"/>
  <c r="D17" i="13"/>
  <c r="C17" i="13" s="1"/>
  <c r="F78" i="2"/>
  <c r="F81" i="2" s="1"/>
  <c r="D50" i="2"/>
  <c r="F18" i="2"/>
  <c r="G156" i="2"/>
  <c r="E103" i="2"/>
  <c r="E62" i="2"/>
  <c r="E63" i="2" s="1"/>
  <c r="D29" i="13"/>
  <c r="C29" i="13" s="1"/>
  <c r="D19" i="13"/>
  <c r="C19" i="13" s="1"/>
  <c r="E78" i="2"/>
  <c r="E81" i="2" s="1"/>
  <c r="H112" i="1"/>
  <c r="J571" i="1"/>
  <c r="H169" i="1"/>
  <c r="J644" i="1"/>
  <c r="H476" i="1"/>
  <c r="H624" i="1" s="1"/>
  <c r="G476" i="1"/>
  <c r="H623" i="1" s="1"/>
  <c r="F169" i="1"/>
  <c r="F571" i="1"/>
  <c r="G22" i="2"/>
  <c r="H140" i="1"/>
  <c r="F22" i="13"/>
  <c r="C22" i="13" s="1"/>
  <c r="H25" i="13"/>
  <c r="C25" i="13" s="1"/>
  <c r="H571" i="1"/>
  <c r="F552" i="1"/>
  <c r="E16" i="13"/>
  <c r="I571" i="1"/>
  <c r="G36" i="2"/>
  <c r="K551" i="1"/>
  <c r="F192" i="1" l="1"/>
  <c r="A13" i="12"/>
  <c r="L565" i="1"/>
  <c r="J552" i="1"/>
  <c r="I552" i="1"/>
  <c r="H552" i="1"/>
  <c r="K545" i="1"/>
  <c r="G545" i="1"/>
  <c r="G552" i="1"/>
  <c r="K549" i="1"/>
  <c r="J545" i="1"/>
  <c r="I545" i="1"/>
  <c r="H545" i="1"/>
  <c r="K605" i="1"/>
  <c r="G648" i="1" s="1"/>
  <c r="J651" i="1"/>
  <c r="J649" i="1"/>
  <c r="K598" i="1"/>
  <c r="G647" i="1" s="1"/>
  <c r="J647" i="1" s="1"/>
  <c r="H338" i="1"/>
  <c r="H352" i="1" s="1"/>
  <c r="E118" i="2"/>
  <c r="E128" i="2" s="1"/>
  <c r="J338" i="1"/>
  <c r="J352" i="1" s="1"/>
  <c r="G338" i="1"/>
  <c r="G352" i="1" s="1"/>
  <c r="L309" i="1"/>
  <c r="F338" i="1"/>
  <c r="F352" i="1" s="1"/>
  <c r="L290" i="1"/>
  <c r="I369" i="1"/>
  <c r="H634" i="1" s="1"/>
  <c r="J634" i="1" s="1"/>
  <c r="D145" i="2"/>
  <c r="L362" i="1"/>
  <c r="C27" i="10" s="1"/>
  <c r="C32" i="10"/>
  <c r="H33" i="13"/>
  <c r="C125" i="2"/>
  <c r="C124" i="2"/>
  <c r="C118" i="2"/>
  <c r="L247" i="1"/>
  <c r="H257" i="1"/>
  <c r="H271" i="1" s="1"/>
  <c r="E13" i="13"/>
  <c r="C13" i="13" s="1"/>
  <c r="C19" i="10"/>
  <c r="D12" i="13"/>
  <c r="C12" i="13" s="1"/>
  <c r="C17" i="10"/>
  <c r="C16" i="10"/>
  <c r="D7" i="13"/>
  <c r="C7" i="13" s="1"/>
  <c r="L229" i="1"/>
  <c r="C13" i="10"/>
  <c r="C12" i="10"/>
  <c r="K257" i="1"/>
  <c r="K271" i="1" s="1"/>
  <c r="C110" i="2"/>
  <c r="J257" i="1"/>
  <c r="J271" i="1" s="1"/>
  <c r="G257" i="1"/>
  <c r="G271" i="1" s="1"/>
  <c r="F257" i="1"/>
  <c r="F271" i="1" s="1"/>
  <c r="D14" i="13"/>
  <c r="C14" i="13" s="1"/>
  <c r="C121" i="2"/>
  <c r="C18" i="10"/>
  <c r="E8" i="13"/>
  <c r="C8" i="13" s="1"/>
  <c r="C120" i="2"/>
  <c r="A40" i="12"/>
  <c r="C111" i="2"/>
  <c r="A31" i="12"/>
  <c r="D5" i="13"/>
  <c r="C5" i="13" s="1"/>
  <c r="I257" i="1"/>
  <c r="I271" i="1" s="1"/>
  <c r="C11" i="10"/>
  <c r="C109" i="2"/>
  <c r="L419" i="1"/>
  <c r="L434" i="1" s="1"/>
  <c r="G638" i="1" s="1"/>
  <c r="J638" i="1" s="1"/>
  <c r="J645" i="1"/>
  <c r="G62" i="2"/>
  <c r="G63" i="2" s="1"/>
  <c r="I408" i="1"/>
  <c r="L401" i="1"/>
  <c r="C139" i="2" s="1"/>
  <c r="D91" i="2"/>
  <c r="I661" i="1"/>
  <c r="J624" i="1"/>
  <c r="E31" i="2"/>
  <c r="H52" i="1"/>
  <c r="H619" i="1" s="1"/>
  <c r="J641" i="1"/>
  <c r="J640" i="1"/>
  <c r="F461" i="1"/>
  <c r="H639" i="1" s="1"/>
  <c r="J639" i="1" s="1"/>
  <c r="J476" i="1"/>
  <c r="H626" i="1" s="1"/>
  <c r="J623" i="1"/>
  <c r="D31" i="2"/>
  <c r="D51" i="2" s="1"/>
  <c r="D18" i="2"/>
  <c r="C78" i="2"/>
  <c r="C91" i="2"/>
  <c r="J622" i="1"/>
  <c r="C18" i="2"/>
  <c r="J617" i="1"/>
  <c r="K550" i="1"/>
  <c r="C81" i="2"/>
  <c r="L534" i="1"/>
  <c r="K500" i="1"/>
  <c r="I460" i="1"/>
  <c r="I452" i="1"/>
  <c r="I461" i="1" s="1"/>
  <c r="H642" i="1" s="1"/>
  <c r="I446" i="1"/>
  <c r="G642" i="1" s="1"/>
  <c r="C123" i="2"/>
  <c r="C119" i="2"/>
  <c r="C112" i="2"/>
  <c r="F85" i="2"/>
  <c r="L211" i="1"/>
  <c r="C20" i="10"/>
  <c r="C26" i="10"/>
  <c r="K503" i="1"/>
  <c r="L382" i="1"/>
  <c r="G636" i="1" s="1"/>
  <c r="J636" i="1" s="1"/>
  <c r="K338" i="1"/>
  <c r="K352" i="1" s="1"/>
  <c r="F130" i="2"/>
  <c r="F144" i="2" s="1"/>
  <c r="F145" i="2" s="1"/>
  <c r="G81" i="2"/>
  <c r="C62" i="2"/>
  <c r="C63" i="2" s="1"/>
  <c r="D56" i="2"/>
  <c r="D63" i="2" s="1"/>
  <c r="G662" i="1"/>
  <c r="I662" i="1" s="1"/>
  <c r="C15" i="10"/>
  <c r="G112" i="1"/>
  <c r="C36" i="10" s="1"/>
  <c r="C16" i="13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J650" i="1"/>
  <c r="L407" i="1"/>
  <c r="C140" i="2" s="1"/>
  <c r="C141" i="2" s="1"/>
  <c r="C144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G635" i="1"/>
  <c r="J635" i="1" s="1"/>
  <c r="K552" i="1" l="1"/>
  <c r="G660" i="1"/>
  <c r="G664" i="1" s="1"/>
  <c r="G667" i="1" s="1"/>
  <c r="F33" i="13"/>
  <c r="H648" i="1"/>
  <c r="J648" i="1" s="1"/>
  <c r="L257" i="1"/>
  <c r="L271" i="1" s="1"/>
  <c r="G632" i="1" s="1"/>
  <c r="J632" i="1" s="1"/>
  <c r="E33" i="13"/>
  <c r="D35" i="13" s="1"/>
  <c r="C128" i="2"/>
  <c r="C115" i="2"/>
  <c r="F660" i="1"/>
  <c r="F664" i="1" s="1"/>
  <c r="F672" i="1" s="1"/>
  <c r="C4" i="10" s="1"/>
  <c r="G104" i="2"/>
  <c r="E51" i="2"/>
  <c r="J642" i="1"/>
  <c r="C104" i="2"/>
  <c r="D104" i="2"/>
  <c r="L408" i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C145" i="2"/>
  <c r="F667" i="1"/>
  <c r="G637" i="1"/>
  <c r="J637" i="1" s="1"/>
  <c r="H646" i="1"/>
  <c r="J646" i="1" s="1"/>
  <c r="C41" i="10"/>
  <c r="D38" i="10" s="1"/>
  <c r="D37" i="10" l="1"/>
  <c r="D36" i="10"/>
  <c r="D35" i="10"/>
  <c r="D40" i="10"/>
  <c r="D39" i="10"/>
  <c r="D41" i="10" l="1"/>
  <c r="I328" i="1"/>
  <c r="I338" i="1" s="1"/>
  <c r="I352" i="1" s="1"/>
  <c r="L314" i="1"/>
  <c r="C10" i="10" s="1"/>
  <c r="L328" i="1"/>
  <c r="H660" i="1" s="1"/>
  <c r="I660" i="1" l="1"/>
  <c r="I664" i="1" s="1"/>
  <c r="H664" i="1"/>
  <c r="C28" i="10"/>
  <c r="D10" i="10" s="1"/>
  <c r="E109" i="2"/>
  <c r="E115" i="2" s="1"/>
  <c r="E145" i="2" s="1"/>
  <c r="D31" i="13"/>
  <c r="L338" i="1"/>
  <c r="L352" i="1" s="1"/>
  <c r="G633" i="1" s="1"/>
  <c r="D19" i="10" l="1"/>
  <c r="D12" i="10"/>
  <c r="D16" i="10"/>
  <c r="D25" i="10"/>
  <c r="D18" i="10"/>
  <c r="D13" i="10"/>
  <c r="D11" i="10"/>
  <c r="D20" i="10"/>
  <c r="D23" i="10"/>
  <c r="C30" i="10"/>
  <c r="D27" i="10"/>
  <c r="D21" i="10"/>
  <c r="D24" i="10"/>
  <c r="D22" i="10"/>
  <c r="D26" i="10"/>
  <c r="D17" i="10"/>
  <c r="D15" i="10"/>
  <c r="C31" i="13"/>
  <c r="D33" i="13"/>
  <c r="D36" i="13" s="1"/>
  <c r="H672" i="1"/>
  <c r="C6" i="10" s="1"/>
  <c r="H667" i="1"/>
  <c r="H656" i="1"/>
  <c r="J633" i="1"/>
  <c r="I672" i="1"/>
  <c r="C7" i="10" s="1"/>
  <c r="I667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<sst xmlns="http://schemas.openxmlformats.org/spreadsheetml/2006/main" count="3957" uniqueCount="915">
  <si>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</si>
  <si>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</si>
  <si>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</si>
  <si>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</si>
  <si>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</si>
  <si>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</si>
  <si>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</si>
  <si>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</si>
  <si>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</si>
  <si>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</si>
  <si>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</si>
  <si>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</si>
  <si>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</si>
  <si>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</si>
  <si>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</si>
  <si>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</si>
  <si>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</si>
  <si>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</si>
  <si>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</si>
  <si>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</si>
  <si>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</si>
  <si>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</si>
  <si>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</si>
  <si>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</si>
  <si>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</si>
  <si>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</si>
  <si>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</si>
  <si>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</si>
  <si>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</si>
  <si>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</si>
  <si>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</si>
  <si>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</si>
  <si>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</si>
  <si>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</si>
  <si>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</si>
  <si>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</si>
  <si>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</si>
  <si>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</si>
  <si>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</si>
  <si>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</si>
  <si>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</si>
  <si>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</si>
  <si>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</si>
  <si>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</si>
  <si>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</si>
  <si>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</si>
  <si>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</si>
  <si>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</si>
  <si>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</si>
  <si>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</si>
  <si>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</si>
  <si>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</si>
  <si>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</si>
  <si>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</si>
  <si>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</si>
  <si>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</si>
  <si>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</si>
  <si>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</si>
  <si>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</si>
  <si>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</si>
  <si>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</si>
  <si>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</si>
  <si>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</si>
  <si>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</si>
  <si>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</si>
  <si>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</si>
  <si>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</si>
  <si>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</si>
  <si>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</si>
  <si>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</si>
  <si>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</si>
  <si>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</si>
  <si>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</si>
  <si>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</si>
  <si>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</si>
  <si>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</si>
  <si>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</si>
  <si>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</si>
  <si>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</si>
  <si>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</si>
  <si>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</si>
  <si>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</si>
  <si>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</si>
  <si>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</si>
  <si>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</si>
  <si>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</si>
  <si>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</si>
  <si>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</si>
  <si>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</si>
  <si>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</si>
  <si>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</si>
  <si>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</si>
  <si>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</si>
  <si>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</si>
  <si>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</si>
  <si>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</si>
  <si>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</si>
  <si>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</si>
  <si>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</si>
  <si>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</si>
  <si>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</si>
  <si>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</si>
  <si>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</si>
  <si>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</si>
  <si>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</si>
  <si>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</si>
  <si>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</si>
  <si>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</si>
  <si>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</si>
  <si>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</si>
  <si>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</si>
  <si>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</si>
  <si>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</si>
  <si>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</si>
  <si>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</si>
  <si>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</si>
  <si>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</si>
  <si>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</si>
  <si>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</si>
  <si>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</si>
  <si>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</si>
  <si>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</si>
  <si>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</si>
  <si>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</si>
  <si>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</si>
  <si>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</si>
  <si>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</si>
  <si>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</si>
  <si>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</si>
  <si>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</si>
  <si>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</si>
  <si>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</si>
  <si>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</si>
  <si>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</si>
  <si>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</si>
  <si>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</si>
  <si>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</si>
  <si>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</si>
  <si>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</si>
  <si>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</si>
  <si>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</si>
  <si>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</si>
  <si>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</si>
  <si>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</si>
  <si>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</si>
  <si>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</si>
  <si>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</si>
  <si>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</si>
  <si>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</si>
  <si>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</si>
  <si>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</si>
  <si>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</si>
  <si>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</si>
  <si>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</si>
  <si>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</si>
  <si>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</si>
  <si>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</si>
  <si>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</si>
  <si>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</si>
  <si>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</si>
  <si>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</si>
  <si>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</si>
  <si>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</si>
  <si>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</si>
  <si>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</si>
  <si>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</si>
  <si>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</si>
  <si>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</si>
  <si>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</si>
  <si>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</si>
  <si>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</si>
  <si>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</si>
  <si>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</si>
  <si>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</si>
  <si>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</si>
  <si>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</si>
  <si>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</si>
  <si>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</si>
  <si>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</si>
  <si>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</si>
  <si>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</si>
  <si>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</si>
  <si>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</si>
  <si>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</si>
  <si>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</si>
  <si>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</si>
  <si>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</si>
  <si>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</si>
  <si>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</si>
  <si>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</si>
  <si>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</si>
  <si>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</si>
  <si>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</si>
  <si>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</si>
  <si>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</si>
  <si>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</si>
  <si>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</si>
  <si>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</si>
  <si>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</si>
  <si>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</si>
  <si>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</si>
  <si>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</si>
  <si>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</si>
  <si>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</si>
  <si>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</si>
  <si>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</si>
  <si>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</si>
  <si>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</si>
  <si>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</si>
  <si>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</si>
  <si>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</si>
  <si>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</si>
  <si>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</si>
  <si>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</si>
  <si>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</si>
  <si>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</si>
  <si>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</si>
  <si>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</si>
  <si>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</si>
  <si>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</si>
  <si>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</si>
  <si>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</si>
  <si>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</si>
  <si>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</si>
  <si>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</si>
  <si>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</si>
  <si>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</si>
  <si>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</si>
  <si>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</si>
  <si>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</si>
  <si>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</si>
  <si>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</si>
  <si>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</si>
  <si>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</si>
  <si>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</si>
  <si>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</si>
  <si>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</si>
  <si>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</si>
  <si>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</si>
  <si>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</si>
  <si>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</si>
  <si>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</si>
  <si>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</si>
  <si>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</si>
  <si>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</si>
  <si>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</si>
  <si>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</si>
  <si>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</si>
  <si>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</si>
  <si>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</si>
  <si>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</si>
  <si>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</si>
  <si>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</si>
  <si>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</si>
  <si>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</si>
  <si>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</si>
  <si>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</si>
  <si>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</si>
  <si>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</si>
  <si>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</si>
  <si>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</si>
  <si>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</si>
  <si>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</si>
  <si>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</si>
  <si>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</si>
  <si>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</si>
  <si>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</si>
  <si>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</si>
  <si>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</si>
  <si>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</si>
  <si>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</si>
  <si>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</si>
  <si>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</si>
  <si>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</si>
  <si>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</si>
  <si>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</si>
  <si>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</si>
  <si>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</si>
  <si>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</si>
  <si>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</si>
  <si>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</si>
  <si>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</si>
  <si>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</si>
  <si>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</si>
  <si>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</si>
  <si>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</si>
  <si>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</si>
  <si>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</si>
  <si>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</si>
  <si>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</si>
  <si>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</si>
  <si>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</si>
  <si>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</si>
  <si>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</si>
  <si>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</si>
  <si>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</si>
  <si>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</si>
  <si>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</si>
  <si>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</si>
  <si>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</si>
  <si>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</si>
  <si>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</si>
  <si>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</si>
  <si>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</si>
  <si>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</si>
  <si>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</si>
  <si>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</si>
  <si>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</si>
  <si>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</si>
  <si>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</si>
  <si>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</si>
  <si>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</si>
  <si>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</si>
  <si>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</si>
  <si>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</si>
  <si>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</si>
  <si>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</si>
  <si>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</si>
  <si>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</si>
  <si>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</si>
  <si>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</si>
  <si>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</si>
  <si>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</si>
  <si>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</si>
  <si>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</si>
  <si>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</si>
  <si>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</si>
  <si>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</si>
  <si>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</si>
  <si>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</si>
  <si>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</si>
  <si>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</si>
  <si>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</si>
  <si>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</si>
  <si>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</si>
  <si>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</si>
  <si>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</si>
  <si>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</si>
  <si>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</si>
  <si>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</si>
  <si>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</si>
  <si>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</si>
  <si>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</si>
  <si>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</si>
  <si>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</si>
  <si>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</si>
  <si>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</si>
  <si>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</si>
  <si>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</si>
  <si>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</si>
  <si>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</si>
  <si>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</si>
  <si>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</si>
  <si>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</si>
  <si>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</si>
  <si>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</si>
  <si>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</si>
  <si>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</si>
  <si>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</si>
  <si>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</si>
  <si>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</si>
  <si>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</si>
  <si>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</si>
  <si>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</si>
  <si>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</si>
  <si>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</si>
  <si>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</si>
  <si>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</si>
  <si>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</si>
  <si>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</si>
  <si>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</si>
  <si>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</si>
  <si>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</si>
  <si>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</si>
  <si>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</si>
  <si>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</si>
  <si>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</si>
  <si>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</si>
  <si>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</si>
  <si>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</si>
  <si>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</si>
  <si>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</si>
  <si>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</si>
  <si>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</si>
  <si>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</si>
  <si>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</si>
  <si>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</si>
  <si>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</si>
  <si>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</si>
  <si>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</si>
  <si>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</si>
  <si>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</si>
  <si>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</si>
  <si>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</si>
  <si>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</si>
  <si>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</si>
  <si>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</si>
  <si>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</si>
  <si>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</si>
  <si>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</si>
  <si>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</si>
  <si>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</si>
  <si>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</si>
  <si>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</si>
  <si>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</si>
  <si>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</si>
  <si>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</si>
  <si>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</si>
  <si>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</si>
  <si>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</si>
  <si>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</si>
  <si>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</si>
  <si>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</si>
  <si>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</si>
  <si>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</si>
  <si>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</si>
  <si>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</si>
  <si>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</si>
  <si>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</si>
  <si>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</si>
  <si>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</si>
  <si>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</si>
  <si>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</si>
  <si>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</si>
  <si>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</si>
  <si>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</si>
  <si>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</si>
  <si>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</si>
  <si>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</si>
  <si>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</si>
  <si>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</si>
  <si>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</si>
  <si>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</si>
  <si>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</si>
  <si>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</si>
  <si>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</si>
  <si>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</si>
  <si>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</si>
  <si>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</si>
  <si>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</si>
  <si>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</si>
  <si>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</si>
  <si>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</si>
  <si>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</si>
  <si>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</si>
  <si>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</si>
  <si>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</si>
  <si>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</si>
  <si>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</si>
  <si>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</si>
  <si>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</si>
  <si>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</si>
  <si>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</si>
  <si>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</si>
  <si>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</si>
  <si>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</si>
  <si>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</si>
  <si>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</si>
  <si>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</si>
  <si>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</si>
  <si>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</si>
  <si>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</si>
  <si>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</si>
  <si>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</si>
  <si>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</si>
  <si>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</si>
  <si>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</si>
  <si>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</si>
  <si>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</si>
  <si>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</si>
  <si>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</si>
  <si>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</si>
  <si>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</si>
  <si>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</si>
  <si>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</si>
  <si>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</si>
  <si>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</si>
  <si>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</si>
  <si>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</si>
  <si>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</si>
  <si>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</si>
  <si>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</si>
  <si>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</si>
  <si>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</si>
  <si>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</si>
  <si>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</si>
  <si>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</si>
  <si>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</si>
  <si>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</si>
  <si>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</si>
  <si>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</si>
  <si>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</si>
  <si>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</si>
  <si>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</si>
  <si>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</si>
  <si>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</si>
  <si>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</si>
  <si>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</si>
  <si>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</si>
  <si>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</si>
  <si>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</si>
  <si>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</si>
  <si>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</si>
  <si>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</si>
  <si>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</si>
  <si>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</si>
  <si>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</si>
  <si>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</si>
  <si>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</si>
  <si>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</si>
  <si>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</si>
  <si>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</si>
  <si>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</si>
  <si>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</si>
  <si>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</si>
  <si>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</si>
  <si>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</si>
  <si>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</si>
  <si>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</si>
  <si>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</si>
  <si>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</si>
  <si>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</si>
  <si>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</si>
  <si>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</si>
  <si>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</si>
  <si>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</si>
  <si>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</si>
  <si>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</si>
  <si>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</si>
  <si>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</si>
  <si>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</si>
  <si>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</si>
  <si>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</si>
  <si>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</si>
  <si>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</si>
  <si>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</si>
  <si>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</si>
  <si>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</si>
  <si>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</si>
  <si>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</si>
  <si>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</si>
  <si>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</si>
  <si>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</si>
  <si>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</si>
  <si>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</si>
  <si>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</si>
  <si>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</si>
  <si>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</si>
  <si>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</si>
  <si>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</si>
  <si>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</si>
  <si>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</si>
  <si>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</si>
  <si>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</si>
  <si>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</si>
  <si>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</si>
  <si>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</si>
  <si>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</si>
  <si>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</si>
  <si>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</si>
  <si>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</si>
  <si>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</si>
  <si>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</si>
  <si>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</si>
  <si>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</si>
  <si>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</si>
  <si>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</si>
  <si>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</si>
  <si>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</si>
  <si>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</si>
  <si>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</si>
  <si>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</si>
  <si>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</si>
  <si>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</si>
  <si>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</si>
  <si>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</si>
  <si>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</si>
  <si>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</si>
  <si>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</si>
  <si>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</si>
  <si>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</si>
  <si>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</si>
  <si>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</si>
  <si>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</si>
  <si>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</si>
  <si>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</si>
  <si>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</si>
  <si>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</si>
  <si>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</si>
  <si>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</si>
  <si>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</si>
  <si>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</si>
  <si>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</si>
  <si>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</si>
  <si>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</si>
  <si>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</si>
  <si>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</si>
  <si>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</si>
  <si>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</si>
  <si>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</si>
  <si>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</si>
  <si>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</si>
  <si>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</si>
  <si>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</si>
  <si>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</si>
  <si>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</si>
  <si>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</si>
  <si>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</si>
  <si>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</si>
  <si>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</si>
  <si>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</si>
  <si>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</si>
  <si>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</si>
  <si>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</si>
  <si>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</si>
  <si>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</si>
  <si>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</si>
  <si>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</si>
  <si>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</si>
  <si>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</si>
  <si>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</si>
  <si>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</si>
  <si>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</si>
  <si>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</si>
  <si>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</si>
  <si>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</si>
  <si>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</si>
  <si>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</si>
  <si>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</si>
  <si>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</si>
  <si>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</si>
  <si>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</si>
  <si>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</si>
  <si>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</si>
  <si>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</si>
  <si>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</si>
  <si>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</si>
  <si>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</si>
  <si>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</si>
  <si>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</si>
  <si>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</si>
  <si>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</si>
  <si>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</si>
  <si>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</si>
  <si>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</si>
  <si>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</si>
  <si>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</si>
  <si>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</si>
  <si>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</si>
  <si>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</si>
  <si>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</si>
  <si>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</si>
  <si>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</si>
  <si>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</si>
  <si>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</si>
  <si>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</si>
  <si>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</si>
  <si>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</si>
  <si>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</si>
  <si>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</si>
  <si>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</si>
  <si>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</si>
  <si>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</si>
  <si>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</si>
  <si>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</si>
  <si>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</si>
  <si>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</si>
  <si>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</si>
  <si>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</si>
  <si>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</si>
  <si>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</si>
  <si>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</si>
  <si>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</si>
  <si>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</si>
  <si>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</si>
  <si>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</si>
  <si>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</si>
  <si>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</si>
  <si>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</si>
  <si>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</si>
  <si>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</si>
  <si>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</si>
  <si>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</si>
  <si>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</si>
  <si>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</si>
  <si>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</si>
  <si>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</si>
  <si>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</si>
  <si>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</si>
  <si>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</si>
  <si>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</si>
  <si>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</si>
  <si>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</si>
  <si>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</si>
  <si>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</si>
  <si>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</si>
  <si>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</si>
  <si>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</si>
  <si>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</si>
  <si>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</si>
  <si>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</si>
  <si>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</si>
  <si>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</si>
  <si>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</si>
  <si>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</si>
  <si>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</si>
  <si>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</si>
  <si>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</si>
  <si>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</si>
  <si>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</si>
  <si>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</si>
  <si>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</si>
  <si>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</si>
  <si>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</si>
  <si>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</si>
  <si>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</si>
  <si>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</si>
  <si>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</si>
  <si>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</si>
  <si>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</si>
  <si>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</si>
  <si>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</si>
  <si>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</si>
  <si>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</si>
  <si>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</si>
  <si>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</si>
  <si>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</si>
  <si>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</si>
  <si>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</si>
  <si>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</si>
  <si>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</si>
  <si>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</si>
  <si>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</si>
  <si>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</si>
  <si>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</si>
  <si>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</si>
  <si>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</si>
  <si>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</si>
  <si>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</si>
  <si>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</si>
  <si>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</si>
  <si>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</si>
  <si>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</si>
  <si>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</si>
  <si>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</si>
  <si>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</si>
  <si>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</si>
  <si>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</si>
  <si>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</si>
  <si>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</si>
  <si>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</si>
  <si>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</si>
  <si>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</si>
  <si>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</si>
  <si>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</si>
  <si>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</si>
  <si>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</si>
  <si>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</si>
  <si>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</si>
  <si>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</si>
  <si>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</si>
  <si>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</si>
  <si>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</si>
  <si>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</si>
  <si>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</si>
  <si>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</si>
  <si>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</si>
  <si>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</si>
  <si>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</si>
  <si>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</si>
  <si>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</si>
  <si>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</si>
  <si>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</si>
  <si>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</si>
  <si>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</si>
  <si>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</si>
  <si>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</si>
  <si>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</si>
  <si>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</si>
  <si>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</si>
  <si>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</si>
  <si>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</si>
  <si>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</si>
  <si>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</si>
  <si>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</si>
  <si>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</si>
  <si>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</si>
  <si>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</si>
  <si>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</si>
  <si>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</si>
  <si>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</si>
  <si>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</si>
  <si>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</si>
  <si>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</si>
  <si>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</si>
  <si>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</si>
  <si>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</si>
  <si>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</si>
  <si>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</si>
  <si>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</si>
  <si>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</si>
  <si>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</si>
  <si>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</si>
  <si>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</si>
  <si>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</si>
  <si>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</si>
  <si>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</si>
  <si>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</si>
  <si>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</si>
  <si>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</si>
  <si>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</si>
  <si>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</si>
  <si>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</si>
  <si>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</si>
  <si>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</si>
  <si>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</si>
  <si>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</si>
  <si>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</si>
  <si>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</si>
  <si>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</si>
  <si>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</si>
  <si>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</si>
  <si>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</si>
  <si>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</si>
  <si>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</si>
  <si>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</si>
  <si>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</si>
  <si>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</si>
  <si>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</si>
  <si>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</si>
  <si>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</si>
  <si>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</si>
  <si>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</si>
  <si>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</si>
  <si>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</si>
  <si>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</si>
  <si>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</si>
  <si>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</si>
  <si>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</si>
  <si>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</si>
  <si>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</si>
  <si>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</si>
  <si>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</si>
  <si>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</si>
  <si>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</si>
  <si>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</si>
  <si>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</si>
  <si>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</si>
  <si>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</si>
  <si>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</si>
  <si>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</si>
  <si>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</si>
  <si>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</si>
  <si>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</si>
  <si>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</si>
  <si>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</si>
  <si>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</si>
  <si>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</si>
  <si>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</si>
  <si>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</si>
  <si>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</si>
  <si>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</si>
  <si>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</si>
  <si>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</si>
  <si>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</si>
  <si>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</si>
  <si>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</si>
  <si>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</si>
  <si>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</si>
  <si>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</si>
  <si>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</si>
  <si>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</si>
  <si>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</si>
  <si>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</si>
  <si>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</si>
  <si>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</si>
  <si>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</si>
  <si>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</si>
  <si>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</si>
  <si>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</si>
  <si>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</si>
  <si>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</si>
  <si>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</si>
  <si>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</si>
  <si>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</si>
  <si>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</si>
  <si>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</si>
  <si>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</si>
  <si>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</si>
  <si>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</si>
  <si>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</si>
  <si>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</si>
  <si>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</si>
  <si>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</si>
  <si>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</si>
  <si>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</si>
  <si>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</si>
  <si>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</si>
  <si>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</si>
  <si>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</si>
  <si>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</si>
  <si>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</si>
  <si>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</si>
  <si>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</si>
  <si>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</si>
  <si>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</si>
  <si>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</si>
  <si>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</si>
  <si>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</si>
  <si>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</si>
  <si>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</si>
  <si>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</si>
  <si>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HUDSON SCHOOL DISTRICT</t>
  </si>
  <si>
    <t>08/10</t>
  </si>
  <si>
    <t>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</si>
</sst>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25" zoomScale="86" zoomScaleNormal="86" workbookViewId="0">
      <selection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267</v>
      </c>
      <c r="C2" s="21">
        <v>267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2722369.14+100+100</f>
        <v>2722569.14</v>
      </c>
      <c r="G9" s="18">
        <f>73297.65+450</f>
        <v>73747.649999999994</v>
      </c>
      <c r="H9" s="18">
        <f>94268.94+56697.83+38048.2+25178.52+21364.64+57362.13+64751.42-328947.87</f>
        <v>28723.809999999998</v>
      </c>
      <c r="I9" s="18"/>
      <c r="J9" s="67">
        <f>SUM(I439)</f>
        <v>715820.39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329782.09999999998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202523.74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4737.67</v>
      </c>
      <c r="G14" s="18">
        <v>26935.87</v>
      </c>
      <c r="H14" s="18">
        <v>332553.90000000002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3133.2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3262745.8500000006</v>
      </c>
      <c r="G19" s="41">
        <f>SUM(G9:G18)</f>
        <v>100683.51999999999</v>
      </c>
      <c r="H19" s="41">
        <f>SUM(H9:H18)</f>
        <v>361277.71</v>
      </c>
      <c r="I19" s="41">
        <f>SUM(I9:I18)</f>
        <v>0</v>
      </c>
      <c r="J19" s="41">
        <f>SUM(J9:J18)</f>
        <v>715820.39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3438.85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418650.05</v>
      </c>
      <c r="G24" s="18">
        <v>60.49</v>
      </c>
      <c r="H24" s="18">
        <f>6909.03+900+206.25+1200</f>
        <v>9215.2799999999988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26885.83</v>
      </c>
      <c r="G28" s="18">
        <v>29722.33</v>
      </c>
      <c r="H28" s="18">
        <v>3400.66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1433860.38+5001.36-134.26</f>
        <v>1438727.48</v>
      </c>
      <c r="G29" s="18">
        <v>5276.83</v>
      </c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167.18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1884263.3599999999</v>
      </c>
      <c r="G32" s="41">
        <f>SUM(G22:G31)</f>
        <v>35059.65</v>
      </c>
      <c r="H32" s="41">
        <f>SUM(H22:H31)</f>
        <v>16221.97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3133.2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65623.87</v>
      </c>
      <c r="H48" s="18">
        <f>79649.25+51362.83+37841.95+23978.52+21364.64+57362.13+64751.42</f>
        <v>336310.74</v>
      </c>
      <c r="I48" s="18"/>
      <c r="J48" s="13">
        <f>SUM(I459)</f>
        <v>715820.39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506585.64</v>
      </c>
      <c r="G49" s="18"/>
      <c r="H49" s="18">
        <f>4310+4435</f>
        <v>8745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818763.65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1378482.49</v>
      </c>
      <c r="G51" s="41">
        <f>SUM(G35:G50)</f>
        <v>65623.87</v>
      </c>
      <c r="H51" s="41">
        <f>SUM(H35:H50)</f>
        <v>345055.74</v>
      </c>
      <c r="I51" s="41">
        <f>SUM(I35:I50)</f>
        <v>0</v>
      </c>
      <c r="J51" s="41">
        <f>SUM(J35:J50)</f>
        <v>715820.39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3262745.8499999996</v>
      </c>
      <c r="G52" s="41">
        <f>G51+G32</f>
        <v>100683.51999999999</v>
      </c>
      <c r="H52" s="41">
        <f>H51+H32</f>
        <v>361277.70999999996</v>
      </c>
      <c r="I52" s="41">
        <f>I51+I32</f>
        <v>0</v>
      </c>
      <c r="J52" s="41">
        <f>J51+J32</f>
        <v>715820.39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31493213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31493213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86340+1253</f>
        <v>87593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f>73076.89-1253+10427.78</f>
        <v>82251.67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169844.66999999998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7799.54</v>
      </c>
      <c r="G96" s="18">
        <v>166.46</v>
      </c>
      <c r="H96" s="18">
        <f>165.45+93.27+68.37+37.39+93.87+105.23+36.75</f>
        <v>600.32999999999993</v>
      </c>
      <c r="I96" s="18"/>
      <c r="J96" s="18">
        <f>13575.99</f>
        <v>13575.99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736867.31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8075.15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29518.25</v>
      </c>
      <c r="G101" s="18"/>
      <c r="H101" s="18">
        <v>9000</v>
      </c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75000</v>
      </c>
      <c r="G102" s="18">
        <v>43747.57</v>
      </c>
      <c r="H102" s="18"/>
      <c r="I102" s="18"/>
      <c r="J102" s="18">
        <v>196601.02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>
        <f>38545.89+13432.3+26034.37</f>
        <v>78012.56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58432.65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6966.63+19174.72+48152</f>
        <v>74293.350000000006</v>
      </c>
      <c r="G110" s="18"/>
      <c r="H110" s="18">
        <f>2018.06+10253.54+9362.76+8110+17620+10421.99</f>
        <v>57786.35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253118.94</v>
      </c>
      <c r="G111" s="41">
        <f>SUM(G96:G110)</f>
        <v>780781.34</v>
      </c>
      <c r="H111" s="41">
        <f>SUM(H96:H110)</f>
        <v>145399.24</v>
      </c>
      <c r="I111" s="41">
        <f>SUM(I96:I110)</f>
        <v>0</v>
      </c>
      <c r="J111" s="41">
        <f>SUM(J96:J110)</f>
        <v>210177.00999999998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31916176.610000003</v>
      </c>
      <c r="G112" s="41">
        <f>G60+G111</f>
        <v>780781.34</v>
      </c>
      <c r="H112" s="41">
        <f>H60+H79+H94+H111</f>
        <v>145399.24</v>
      </c>
      <c r="I112" s="41">
        <f>I60+I111</f>
        <v>0</v>
      </c>
      <c r="J112" s="41">
        <f>J60+J111</f>
        <v>210177.00999999998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8410715.6699999999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6124798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6724.67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14542238.34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396597.57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384604.48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135957.07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2580.1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19316.09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919739.22000000009</v>
      </c>
      <c r="G136" s="41">
        <f>SUM(G123:G135)</f>
        <v>19316.09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15461977.560000001</v>
      </c>
      <c r="G140" s="41">
        <f>G121+SUM(G136:G137)</f>
        <v>19316.09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562623.06000000006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106357.7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96444.15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75411.960000000006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86943.46+56726.37+215497.17</f>
        <v>359167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814763.31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377532.78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7866.24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377532.78</v>
      </c>
      <c r="G162" s="41">
        <f>SUM(G150:G161)</f>
        <v>359167</v>
      </c>
      <c r="H162" s="41">
        <f>SUM(H150:H161)</f>
        <v>1663466.4200000002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377532.78</v>
      </c>
      <c r="G169" s="41">
        <f>G147+G162+SUM(G163:G168)</f>
        <v>359167</v>
      </c>
      <c r="H169" s="41">
        <f>H147+H162+SUM(H163:H168)</f>
        <v>1663466.4200000002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40220.57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40220.57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150000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190220.57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47945907.520000003</v>
      </c>
      <c r="G193" s="47">
        <f>G112+G140+G169+G192</f>
        <v>1159264.43</v>
      </c>
      <c r="H193" s="47">
        <f>H112+H140+H169+H192</f>
        <v>1808865.6600000001</v>
      </c>
      <c r="I193" s="47">
        <f>I112+I140+I169+I192</f>
        <v>0</v>
      </c>
      <c r="J193" s="47">
        <f>J112+J140+J192</f>
        <v>410177.01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4200841.53</v>
      </c>
      <c r="G197" s="18">
        <v>2315825.42</v>
      </c>
      <c r="H197" s="18">
        <v>104878.83</v>
      </c>
      <c r="I197" s="18">
        <v>274243.94</v>
      </c>
      <c r="J197" s="18">
        <v>34984.699999999997</v>
      </c>
      <c r="K197" s="18">
        <v>658</v>
      </c>
      <c r="L197" s="19">
        <f>SUM(F197:K197)</f>
        <v>6931432.4200000009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2122599.12</v>
      </c>
      <c r="G198" s="18">
        <v>774470.04</v>
      </c>
      <c r="H198" s="18">
        <v>552109.49</v>
      </c>
      <c r="I198" s="18">
        <v>29964.01</v>
      </c>
      <c r="J198" s="18">
        <v>19919.22</v>
      </c>
      <c r="K198" s="18">
        <v>0</v>
      </c>
      <c r="L198" s="19">
        <f>SUM(F198:K198)</f>
        <v>3499061.8800000004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6400</v>
      </c>
      <c r="G200" s="18">
        <v>1693.98</v>
      </c>
      <c r="H200" s="18"/>
      <c r="I200" s="18"/>
      <c r="J200" s="18"/>
      <c r="K200" s="18"/>
      <c r="L200" s="19">
        <f>SUM(F200:K200)</f>
        <v>8093.98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1102252.02</v>
      </c>
      <c r="G202" s="18">
        <v>499430.19</v>
      </c>
      <c r="H202" s="18">
        <v>170400.39</v>
      </c>
      <c r="I202" s="18">
        <v>25671.62</v>
      </c>
      <c r="J202" s="18">
        <v>7217.11</v>
      </c>
      <c r="K202" s="18">
        <v>286.25</v>
      </c>
      <c r="L202" s="19">
        <f t="shared" ref="L202:L208" si="0">SUM(F202:K202)</f>
        <v>1805257.5800000003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243711.99</v>
      </c>
      <c r="G203" s="18">
        <v>155262.56</v>
      </c>
      <c r="H203" s="18">
        <v>97099.36</v>
      </c>
      <c r="I203" s="18">
        <v>62151.39</v>
      </c>
      <c r="J203" s="18">
        <v>84005.5</v>
      </c>
      <c r="K203" s="18">
        <v>118</v>
      </c>
      <c r="L203" s="19">
        <f t="shared" si="0"/>
        <v>642348.79999999993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189797.96</v>
      </c>
      <c r="G204" s="18">
        <v>119044.52</v>
      </c>
      <c r="H204" s="18">
        <v>6821.49</v>
      </c>
      <c r="I204" s="18">
        <v>10314.32</v>
      </c>
      <c r="J204" s="18">
        <v>9185.3700000000008</v>
      </c>
      <c r="K204" s="18">
        <v>19575.439999999999</v>
      </c>
      <c r="L204" s="19">
        <f t="shared" si="0"/>
        <v>354739.1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752868.77</v>
      </c>
      <c r="G205" s="18">
        <v>378036.92</v>
      </c>
      <c r="H205" s="18">
        <v>16173.75</v>
      </c>
      <c r="I205" s="18">
        <v>9806.34</v>
      </c>
      <c r="J205" s="18"/>
      <c r="K205" s="18">
        <v>4189</v>
      </c>
      <c r="L205" s="19">
        <f t="shared" si="0"/>
        <v>1161074.78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204553.88</v>
      </c>
      <c r="G206" s="18">
        <v>105262.92</v>
      </c>
      <c r="H206" s="18">
        <v>44870.91</v>
      </c>
      <c r="I206" s="18">
        <v>5697.43</v>
      </c>
      <c r="J206" s="18">
        <v>1810.98</v>
      </c>
      <c r="K206" s="18"/>
      <c r="L206" s="19">
        <f t="shared" si="0"/>
        <v>362196.11999999994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794238.57</v>
      </c>
      <c r="G207" s="18">
        <v>439326.04</v>
      </c>
      <c r="H207" s="18">
        <v>676208.22</v>
      </c>
      <c r="I207" s="18">
        <v>397203.18</v>
      </c>
      <c r="J207" s="18">
        <v>112555.42</v>
      </c>
      <c r="K207" s="18"/>
      <c r="L207" s="19">
        <f t="shared" si="0"/>
        <v>2419531.4299999997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717.58</v>
      </c>
      <c r="G208" s="18">
        <v>88.13</v>
      </c>
      <c r="H208" s="18">
        <f>576278.9+149728.01</f>
        <v>726006.91</v>
      </c>
      <c r="I208" s="18"/>
      <c r="J208" s="18"/>
      <c r="K208" s="18"/>
      <c r="L208" s="19">
        <f t="shared" si="0"/>
        <v>726812.62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54167.93</v>
      </c>
      <c r="I209" s="18">
        <v>31935.360000000001</v>
      </c>
      <c r="J209" s="18">
        <v>56844.61</v>
      </c>
      <c r="K209" s="18">
        <v>395.65</v>
      </c>
      <c r="L209" s="19">
        <f>SUM(F209:K209)</f>
        <v>143343.55000000002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9617981.4200000018</v>
      </c>
      <c r="G211" s="41">
        <f t="shared" si="1"/>
        <v>4788440.72</v>
      </c>
      <c r="H211" s="41">
        <f t="shared" si="1"/>
        <v>2448737.2800000003</v>
      </c>
      <c r="I211" s="41">
        <f t="shared" si="1"/>
        <v>846987.59</v>
      </c>
      <c r="J211" s="41">
        <f t="shared" si="1"/>
        <v>326522.90999999997</v>
      </c>
      <c r="K211" s="41">
        <f t="shared" si="1"/>
        <v>25222.34</v>
      </c>
      <c r="L211" s="41">
        <f t="shared" si="1"/>
        <v>18053892.260000002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2943011.71</v>
      </c>
      <c r="G215" s="18">
        <v>1582918.91</v>
      </c>
      <c r="H215" s="18">
        <v>52394.35</v>
      </c>
      <c r="I215" s="18">
        <v>194973.29</v>
      </c>
      <c r="J215" s="18">
        <v>18739.419999999998</v>
      </c>
      <c r="K215" s="18">
        <v>1090.5</v>
      </c>
      <c r="L215" s="19">
        <f>SUM(F215:K215)</f>
        <v>4793128.18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992230.04</v>
      </c>
      <c r="G216" s="18">
        <v>457971.68</v>
      </c>
      <c r="H216" s="18">
        <v>446450.38</v>
      </c>
      <c r="I216" s="18">
        <v>5799.37</v>
      </c>
      <c r="J216" s="18">
        <v>9572.67</v>
      </c>
      <c r="K216" s="18">
        <v>530</v>
      </c>
      <c r="L216" s="19">
        <f>SUM(F216:K216)</f>
        <v>1912554.1400000001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38000</v>
      </c>
      <c r="G217" s="18">
        <v>10678.14</v>
      </c>
      <c r="H217" s="18"/>
      <c r="I217" s="18">
        <v>2668.52</v>
      </c>
      <c r="J217" s="18">
        <v>6558.84</v>
      </c>
      <c r="K217" s="18"/>
      <c r="L217" s="19">
        <f>SUM(F217:K217)</f>
        <v>57905.5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63522.61</v>
      </c>
      <c r="G218" s="18">
        <v>13634.22</v>
      </c>
      <c r="H218" s="18">
        <v>16239.3</v>
      </c>
      <c r="I218" s="18">
        <v>8180.02</v>
      </c>
      <c r="J218" s="18"/>
      <c r="K218" s="18">
        <v>1460</v>
      </c>
      <c r="L218" s="19">
        <f>SUM(F218:K218)</f>
        <v>103036.15000000001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640250.81000000006</v>
      </c>
      <c r="G220" s="18">
        <v>371636.17</v>
      </c>
      <c r="H220" s="18">
        <v>95575.14</v>
      </c>
      <c r="I220" s="18">
        <v>9548.24</v>
      </c>
      <c r="J220" s="18">
        <v>2224.09</v>
      </c>
      <c r="K220" s="18">
        <v>178.75</v>
      </c>
      <c r="L220" s="19">
        <f t="shared" ref="L220:L226" si="2">SUM(F220:K220)</f>
        <v>1119413.2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99365.83</v>
      </c>
      <c r="G221" s="18">
        <v>69388.78</v>
      </c>
      <c r="H221" s="18">
        <v>36402.68</v>
      </c>
      <c r="I221" s="18">
        <v>32073.96</v>
      </c>
      <c r="J221" s="18">
        <v>69930</v>
      </c>
      <c r="K221" s="18">
        <v>1008</v>
      </c>
      <c r="L221" s="19">
        <f t="shared" si="2"/>
        <v>308169.25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119992.02</v>
      </c>
      <c r="G222" s="18">
        <v>74082.080000000002</v>
      </c>
      <c r="H222" s="18">
        <v>4416.16</v>
      </c>
      <c r="I222" s="18">
        <v>6177.33</v>
      </c>
      <c r="J222" s="18">
        <v>6945.52</v>
      </c>
      <c r="K222" s="18">
        <v>11076.79</v>
      </c>
      <c r="L222" s="19">
        <f t="shared" si="2"/>
        <v>222689.9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426675.3</v>
      </c>
      <c r="G223" s="18">
        <v>235434.37</v>
      </c>
      <c r="H223" s="18">
        <v>10848.61</v>
      </c>
      <c r="I223" s="18">
        <v>11999.55</v>
      </c>
      <c r="J223" s="18"/>
      <c r="K223" s="18">
        <v>1190</v>
      </c>
      <c r="L223" s="19">
        <f t="shared" si="2"/>
        <v>686147.83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114749.74</v>
      </c>
      <c r="G224" s="18">
        <v>59049.93</v>
      </c>
      <c r="H224" s="18">
        <v>25171.49</v>
      </c>
      <c r="I224" s="18">
        <v>3196.12</v>
      </c>
      <c r="J224" s="18">
        <v>1015.91</v>
      </c>
      <c r="K224" s="18"/>
      <c r="L224" s="19">
        <f t="shared" si="2"/>
        <v>203183.19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432041.64</v>
      </c>
      <c r="G225" s="18">
        <v>258625.13</v>
      </c>
      <c r="H225" s="18">
        <v>263240.87</v>
      </c>
      <c r="I225" s="18">
        <f>207208.71-0.72</f>
        <v>207207.99</v>
      </c>
      <c r="J225" s="18">
        <v>53889.66</v>
      </c>
      <c r="K225" s="18"/>
      <c r="L225" s="19">
        <f t="shared" si="2"/>
        <v>1215005.2899999998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321577.61+120614.23</f>
        <v>442191.83999999997</v>
      </c>
      <c r="I226" s="18"/>
      <c r="J226" s="18"/>
      <c r="K226" s="18"/>
      <c r="L226" s="19">
        <f t="shared" si="2"/>
        <v>442191.83999999997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20640.939999999999</v>
      </c>
      <c r="I227" s="18">
        <v>26072.05</v>
      </c>
      <c r="J227" s="18">
        <v>49811.199999999997</v>
      </c>
      <c r="K227" s="18">
        <v>221.95</v>
      </c>
      <c r="L227" s="19">
        <f>SUM(F227:K227)</f>
        <v>96746.14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5869839.6999999993</v>
      </c>
      <c r="G229" s="41">
        <f>SUM(G215:G228)</f>
        <v>3133419.4099999997</v>
      </c>
      <c r="H229" s="41">
        <f>SUM(H215:H228)</f>
        <v>1413571.7599999998</v>
      </c>
      <c r="I229" s="41">
        <f>SUM(I215:I228)</f>
        <v>507896.43999999994</v>
      </c>
      <c r="J229" s="41">
        <f>SUM(J215:J228)</f>
        <v>218687.31</v>
      </c>
      <c r="K229" s="41">
        <f t="shared" si="3"/>
        <v>16755.990000000002</v>
      </c>
      <c r="L229" s="41">
        <f t="shared" si="3"/>
        <v>11160170.609999999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3762912.12</v>
      </c>
      <c r="G233" s="18">
        <v>1986313.22</v>
      </c>
      <c r="H233" s="18">
        <v>112406.98</v>
      </c>
      <c r="I233" s="18">
        <v>141151.9</v>
      </c>
      <c r="J233" s="18">
        <v>34158.01</v>
      </c>
      <c r="K233" s="18">
        <v>8084.56</v>
      </c>
      <c r="L233" s="19">
        <f>SUM(F233:K233)</f>
        <v>6045026.79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1214693.1399999999</v>
      </c>
      <c r="G234" s="18">
        <v>438988.61</v>
      </c>
      <c r="H234" s="18">
        <f>535798.2-26668.12</f>
        <v>509130.07999999996</v>
      </c>
      <c r="I234" s="18">
        <v>4296.3500000000004</v>
      </c>
      <c r="J234" s="18">
        <v>5960.46</v>
      </c>
      <c r="K234" s="18"/>
      <c r="L234" s="19">
        <f>SUM(F234:K234)</f>
        <v>2173068.64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920074.22</v>
      </c>
      <c r="G235" s="18">
        <v>529803.76</v>
      </c>
      <c r="H235" s="18">
        <v>78274.11</v>
      </c>
      <c r="I235" s="18">
        <v>98849.2</v>
      </c>
      <c r="J235" s="18">
        <v>32314.74</v>
      </c>
      <c r="K235" s="18">
        <v>545</v>
      </c>
      <c r="L235" s="19">
        <f>SUM(F235:K235)</f>
        <v>1659861.03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246015.43</v>
      </c>
      <c r="G236" s="18">
        <v>42080.59</v>
      </c>
      <c r="H236" s="18">
        <v>172980.8</v>
      </c>
      <c r="I236" s="18">
        <v>60618.23</v>
      </c>
      <c r="J236" s="18">
        <v>28989.39</v>
      </c>
      <c r="K236" s="18">
        <v>15709</v>
      </c>
      <c r="L236" s="19">
        <f>SUM(F236:K236)</f>
        <v>566393.43999999994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783964.8</v>
      </c>
      <c r="G238" s="18">
        <v>443924.7</v>
      </c>
      <c r="H238" s="18">
        <v>181337.42</v>
      </c>
      <c r="I238" s="18">
        <v>15255.07</v>
      </c>
      <c r="J238" s="18">
        <v>2545.81</v>
      </c>
      <c r="K238" s="18">
        <v>803</v>
      </c>
      <c r="L238" s="19">
        <f t="shared" ref="L238:L244" si="4">SUM(F238:K238)</f>
        <v>1427830.8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168389.23</v>
      </c>
      <c r="G239" s="18">
        <v>127027.76</v>
      </c>
      <c r="H239" s="18">
        <v>82915.19</v>
      </c>
      <c r="I239" s="18">
        <v>31743.88</v>
      </c>
      <c r="J239" s="18">
        <v>68153.7</v>
      </c>
      <c r="K239" s="18"/>
      <c r="L239" s="19">
        <f t="shared" si="4"/>
        <v>478229.76000000001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171857.63</v>
      </c>
      <c r="G240" s="18">
        <v>107338.09</v>
      </c>
      <c r="H240" s="18">
        <v>6216.57</v>
      </c>
      <c r="I240" s="18">
        <v>9207.1200000000008</v>
      </c>
      <c r="J240" s="18">
        <v>8755.49</v>
      </c>
      <c r="K240" s="18">
        <v>17224.939999999999</v>
      </c>
      <c r="L240" s="19">
        <f t="shared" si="4"/>
        <v>320599.83999999997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596677.93999999994</v>
      </c>
      <c r="G241" s="18">
        <v>344045.43</v>
      </c>
      <c r="H241" s="18">
        <v>36121.07</v>
      </c>
      <c r="I241" s="18">
        <v>655.96</v>
      </c>
      <c r="J241" s="18"/>
      <c r="K241" s="18">
        <v>5185</v>
      </c>
      <c r="L241" s="19">
        <f t="shared" si="4"/>
        <v>982685.39999999979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179608.28</v>
      </c>
      <c r="G242" s="18">
        <v>92425.98</v>
      </c>
      <c r="H242" s="18">
        <v>39398.85</v>
      </c>
      <c r="I242" s="18">
        <v>5002.62</v>
      </c>
      <c r="J242" s="18">
        <v>1590.12</v>
      </c>
      <c r="K242" s="18"/>
      <c r="L242" s="19">
        <f t="shared" si="4"/>
        <v>318025.84999999998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603534.47</v>
      </c>
      <c r="G243" s="18">
        <v>312174.13</v>
      </c>
      <c r="H243" s="18">
        <f>443453.38+3726.15</f>
        <v>447179.53</v>
      </c>
      <c r="I243" s="18">
        <v>382027.12</v>
      </c>
      <c r="J243" s="18">
        <v>60256.65</v>
      </c>
      <c r="K243" s="18"/>
      <c r="L243" s="19">
        <f t="shared" si="4"/>
        <v>1805171.9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505864.4+145568.9</f>
        <v>651433.30000000005</v>
      </c>
      <c r="I244" s="18"/>
      <c r="J244" s="18"/>
      <c r="K244" s="18"/>
      <c r="L244" s="19">
        <f t="shared" si="4"/>
        <v>651433.30000000005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55032.21</v>
      </c>
      <c r="I245" s="18">
        <v>35999.69</v>
      </c>
      <c r="J245" s="18">
        <v>90389.88</v>
      </c>
      <c r="K245" s="18">
        <v>347.4</v>
      </c>
      <c r="L245" s="19">
        <f>SUM(F245:K245)</f>
        <v>181769.18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8647727.2599999998</v>
      </c>
      <c r="G247" s="41">
        <f t="shared" si="5"/>
        <v>4424122.2699999996</v>
      </c>
      <c r="H247" s="41">
        <f t="shared" si="5"/>
        <v>2372426.1100000003</v>
      </c>
      <c r="I247" s="41">
        <f t="shared" si="5"/>
        <v>784807.1399999999</v>
      </c>
      <c r="J247" s="41">
        <f t="shared" si="5"/>
        <v>333114.25</v>
      </c>
      <c r="K247" s="41">
        <f t="shared" si="5"/>
        <v>47898.9</v>
      </c>
      <c r="L247" s="41">
        <f t="shared" si="5"/>
        <v>16610095.93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678038.05</v>
      </c>
      <c r="I255" s="18"/>
      <c r="J255" s="18"/>
      <c r="K255" s="18"/>
      <c r="L255" s="19">
        <f t="shared" si="6"/>
        <v>678038.05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678038.05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678038.05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24135548.380000003</v>
      </c>
      <c r="G257" s="41">
        <f t="shared" si="8"/>
        <v>12345982.399999999</v>
      </c>
      <c r="H257" s="41">
        <f t="shared" si="8"/>
        <v>6912773.2000000002</v>
      </c>
      <c r="I257" s="41">
        <f t="shared" si="8"/>
        <v>2139691.17</v>
      </c>
      <c r="J257" s="41">
        <f t="shared" si="8"/>
        <v>878324.47</v>
      </c>
      <c r="K257" s="41">
        <f t="shared" si="8"/>
        <v>89877.23000000001</v>
      </c>
      <c r="L257" s="41">
        <f t="shared" si="8"/>
        <v>46502196.849999994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1079302.82</v>
      </c>
      <c r="L260" s="19">
        <f>SUM(F260:K260)</f>
        <v>1079302.82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140019.51999999999</v>
      </c>
      <c r="L261" s="19">
        <f>SUM(F261:K261)</f>
        <v>140019.51999999999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26668.12</v>
      </c>
      <c r="L268" s="19">
        <f t="shared" si="9"/>
        <v>26668.12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1445990.4600000002</v>
      </c>
      <c r="L270" s="41">
        <f t="shared" si="9"/>
        <v>1445990.4600000002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24135548.380000003</v>
      </c>
      <c r="G271" s="42">
        <f t="shared" si="11"/>
        <v>12345982.399999999</v>
      </c>
      <c r="H271" s="42">
        <f t="shared" si="11"/>
        <v>6912773.2000000002</v>
      </c>
      <c r="I271" s="42">
        <f t="shared" si="11"/>
        <v>2139691.17</v>
      </c>
      <c r="J271" s="42">
        <f t="shared" si="11"/>
        <v>878324.47</v>
      </c>
      <c r="K271" s="42">
        <f t="shared" si="11"/>
        <v>1535867.6900000002</v>
      </c>
      <c r="L271" s="42">
        <f t="shared" si="11"/>
        <v>47948187.309999995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347468.15</v>
      </c>
      <c r="G276" s="18">
        <v>26846.49</v>
      </c>
      <c r="H276" s="18">
        <v>3928.94</v>
      </c>
      <c r="I276" s="18">
        <v>3907.58</v>
      </c>
      <c r="J276" s="18"/>
      <c r="K276" s="18">
        <v>7907.01</v>
      </c>
      <c r="L276" s="19">
        <f>SUM(F276:K276)</f>
        <v>390058.17000000004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312713.14</v>
      </c>
      <c r="G277" s="18">
        <v>128747.67</v>
      </c>
      <c r="H277" s="18">
        <v>5275.41</v>
      </c>
      <c r="I277" s="18">
        <v>576</v>
      </c>
      <c r="J277" s="18"/>
      <c r="K277" s="18">
        <v>6950.04</v>
      </c>
      <c r="L277" s="19">
        <f>SUM(F277:K277)</f>
        <v>454262.25999999995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675.48</v>
      </c>
      <c r="G281" s="18">
        <v>25.07</v>
      </c>
      <c r="H281" s="18">
        <v>5826.6</v>
      </c>
      <c r="I281" s="18">
        <v>1092.49</v>
      </c>
      <c r="J281" s="18">
        <v>1528.27</v>
      </c>
      <c r="K281" s="18">
        <v>28.46</v>
      </c>
      <c r="L281" s="19">
        <f t="shared" ref="L281:L287" si="12">SUM(F281:K281)</f>
        <v>9176.369999999999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30324.400000000001</v>
      </c>
      <c r="G282" s="18">
        <v>2328.67</v>
      </c>
      <c r="H282" s="18">
        <v>5146.5</v>
      </c>
      <c r="I282" s="18">
        <v>43.21</v>
      </c>
      <c r="J282" s="18"/>
      <c r="K282" s="18"/>
      <c r="L282" s="19">
        <f t="shared" si="12"/>
        <v>37842.78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691181.17</v>
      </c>
      <c r="G290" s="42">
        <f t="shared" si="13"/>
        <v>157947.90000000002</v>
      </c>
      <c r="H290" s="42">
        <f t="shared" si="13"/>
        <v>20177.45</v>
      </c>
      <c r="I290" s="42">
        <f t="shared" si="13"/>
        <v>5619.28</v>
      </c>
      <c r="J290" s="42">
        <f t="shared" si="13"/>
        <v>1528.27</v>
      </c>
      <c r="K290" s="42">
        <f t="shared" si="13"/>
        <v>14885.509999999998</v>
      </c>
      <c r="L290" s="41">
        <f t="shared" si="13"/>
        <v>891339.58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28029.97</v>
      </c>
      <c r="G295" s="18">
        <v>3216.52</v>
      </c>
      <c r="H295" s="18">
        <v>48489.02</v>
      </c>
      <c r="I295" s="18">
        <v>1291.1400000000001</v>
      </c>
      <c r="J295" s="18"/>
      <c r="K295" s="18">
        <v>127.36</v>
      </c>
      <c r="L295" s="19">
        <f>SUM(F295:K295)</f>
        <v>81154.009999999995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33082.33</v>
      </c>
      <c r="G296" s="18">
        <v>13316.75</v>
      </c>
      <c r="H296" s="18">
        <v>3452.13</v>
      </c>
      <c r="I296" s="18"/>
      <c r="J296" s="18"/>
      <c r="K296" s="18">
        <v>5390.03</v>
      </c>
      <c r="L296" s="19">
        <f>SUM(F296:K296)</f>
        <v>55241.24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>
        <v>19890.14</v>
      </c>
      <c r="K297" s="18"/>
      <c r="L297" s="19">
        <f>SUM(F297:K297)</f>
        <v>19890.14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544.14</v>
      </c>
      <c r="G300" s="18">
        <v>20.2</v>
      </c>
      <c r="H300" s="18">
        <v>4693.6499999999996</v>
      </c>
      <c r="I300" s="18">
        <v>880.06</v>
      </c>
      <c r="J300" s="18">
        <v>1231.1099999999999</v>
      </c>
      <c r="K300" s="18">
        <v>10.199999999999999</v>
      </c>
      <c r="L300" s="19">
        <f t="shared" ref="L300:L306" si="14">SUM(F300:K300)</f>
        <v>7379.3599999999988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12904</v>
      </c>
      <c r="G301" s="18">
        <v>990.92</v>
      </c>
      <c r="H301" s="18">
        <v>2190</v>
      </c>
      <c r="I301" s="18">
        <v>18.39</v>
      </c>
      <c r="J301" s="18"/>
      <c r="K301" s="18"/>
      <c r="L301" s="19">
        <f t="shared" si="14"/>
        <v>16103.31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74560.44</v>
      </c>
      <c r="G309" s="42">
        <f t="shared" si="15"/>
        <v>17544.39</v>
      </c>
      <c r="H309" s="42">
        <f t="shared" si="15"/>
        <v>58824.799999999996</v>
      </c>
      <c r="I309" s="42">
        <f t="shared" si="15"/>
        <v>2189.5899999999997</v>
      </c>
      <c r="J309" s="42">
        <f t="shared" si="15"/>
        <v>21121.25</v>
      </c>
      <c r="K309" s="42">
        <f t="shared" si="15"/>
        <v>5527.5899999999992</v>
      </c>
      <c r="L309" s="41">
        <f t="shared" si="15"/>
        <v>179768.06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77881.69</v>
      </c>
      <c r="G314" s="18">
        <v>37384.699999999997</v>
      </c>
      <c r="H314" s="18">
        <v>552.24</v>
      </c>
      <c r="I314" s="18">
        <v>1991.21</v>
      </c>
      <c r="J314" s="18"/>
      <c r="K314" s="18">
        <v>199.35</v>
      </c>
      <c r="L314" s="19">
        <f>SUM(F314:K314)</f>
        <v>118009.19000000002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214901.12</v>
      </c>
      <c r="G315" s="18">
        <v>56390.39</v>
      </c>
      <c r="H315" s="18">
        <v>4166.37</v>
      </c>
      <c r="I315" s="18"/>
      <c r="J315" s="18"/>
      <c r="K315" s="18">
        <v>6505.21</v>
      </c>
      <c r="L315" s="19">
        <f>SUM(F315:K315)</f>
        <v>281963.09000000003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f>18630+16040</f>
        <v>34670</v>
      </c>
      <c r="G316" s="18">
        <f>4672.83+1140.61</f>
        <v>5813.44</v>
      </c>
      <c r="H316" s="18">
        <f>27756.32+14789.39</f>
        <v>42545.71</v>
      </c>
      <c r="I316" s="18">
        <f>13435.34+64192.99</f>
        <v>77628.33</v>
      </c>
      <c r="J316" s="18">
        <f>11910.08+18742.81</f>
        <v>30652.89</v>
      </c>
      <c r="K316" s="18">
        <v>1267.33</v>
      </c>
      <c r="L316" s="19">
        <f>SUM(F316:K316)</f>
        <v>192577.69999999998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656.72</v>
      </c>
      <c r="G319" s="18">
        <v>24.38</v>
      </c>
      <c r="H319" s="18">
        <v>5664.75</v>
      </c>
      <c r="I319" s="18">
        <v>1062.1500000000001</v>
      </c>
      <c r="J319" s="18">
        <v>1485.82</v>
      </c>
      <c r="K319" s="18">
        <v>15.96</v>
      </c>
      <c r="L319" s="19">
        <f t="shared" ref="L319:L325" si="16">SUM(F319:K319)</f>
        <v>8909.7799999999988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21291.599999999999</v>
      </c>
      <c r="G320" s="18">
        <v>1635.02</v>
      </c>
      <c r="H320" s="18">
        <v>3613.5</v>
      </c>
      <c r="I320" s="18">
        <v>30.34</v>
      </c>
      <c r="J320" s="18"/>
      <c r="K320" s="18">
        <v>3822.4</v>
      </c>
      <c r="L320" s="19">
        <f t="shared" si="16"/>
        <v>30392.86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349401.12999999995</v>
      </c>
      <c r="G328" s="42">
        <f t="shared" si="17"/>
        <v>101247.93000000001</v>
      </c>
      <c r="H328" s="42">
        <f t="shared" si="17"/>
        <v>56542.57</v>
      </c>
      <c r="I328" s="42">
        <f t="shared" si="17"/>
        <v>80712.03</v>
      </c>
      <c r="J328" s="42">
        <f t="shared" si="17"/>
        <v>32138.71</v>
      </c>
      <c r="K328" s="42">
        <f t="shared" si="17"/>
        <v>11810.25</v>
      </c>
      <c r="L328" s="41">
        <f t="shared" si="17"/>
        <v>631852.62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15842.25</v>
      </c>
      <c r="G333" s="18">
        <v>3347.09</v>
      </c>
      <c r="H333" s="18">
        <f>43041+6002.09</f>
        <v>49043.09</v>
      </c>
      <c r="I333" s="18">
        <v>12245.97</v>
      </c>
      <c r="J333" s="18"/>
      <c r="K333" s="18">
        <v>935.65</v>
      </c>
      <c r="L333" s="19">
        <f t="shared" si="18"/>
        <v>81414.049999999988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15842.25</v>
      </c>
      <c r="G337" s="41">
        <f t="shared" si="19"/>
        <v>3347.09</v>
      </c>
      <c r="H337" s="41">
        <f t="shared" si="19"/>
        <v>49043.09</v>
      </c>
      <c r="I337" s="41">
        <f t="shared" si="19"/>
        <v>12245.97</v>
      </c>
      <c r="J337" s="41">
        <f t="shared" si="19"/>
        <v>0</v>
      </c>
      <c r="K337" s="41">
        <f t="shared" si="19"/>
        <v>935.65</v>
      </c>
      <c r="L337" s="41">
        <f t="shared" si="18"/>
        <v>81414.049999999988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1130984.99</v>
      </c>
      <c r="G338" s="41">
        <f t="shared" si="20"/>
        <v>280087.31000000006</v>
      </c>
      <c r="H338" s="41">
        <f t="shared" si="20"/>
        <v>184587.91</v>
      </c>
      <c r="I338" s="41">
        <f t="shared" si="20"/>
        <v>100766.87</v>
      </c>
      <c r="J338" s="41">
        <f t="shared" si="20"/>
        <v>54788.229999999996</v>
      </c>
      <c r="K338" s="41">
        <f t="shared" si="20"/>
        <v>33159</v>
      </c>
      <c r="L338" s="41">
        <f t="shared" si="20"/>
        <v>1784374.3099999998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1130984.99</v>
      </c>
      <c r="G352" s="41">
        <f>G338</f>
        <v>280087.31000000006</v>
      </c>
      <c r="H352" s="41">
        <f>H338</f>
        <v>184587.91</v>
      </c>
      <c r="I352" s="41">
        <f>I338</f>
        <v>100766.87</v>
      </c>
      <c r="J352" s="41">
        <f>J338</f>
        <v>54788.229999999996</v>
      </c>
      <c r="K352" s="47">
        <f>K338+K351</f>
        <v>33159</v>
      </c>
      <c r="L352" s="41">
        <f>L338+L351</f>
        <v>1784374.3099999998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49133.85+163106.23</f>
        <v>212240.08000000002</v>
      </c>
      <c r="G358" s="18">
        <f>109761.35+27772.93</f>
        <v>137534.28</v>
      </c>
      <c r="H358" s="18">
        <f>6800.16+1867.9</f>
        <v>8668.06</v>
      </c>
      <c r="I358" s="18">
        <f>2195.64+14044.88+130969.71+795.97</f>
        <v>148006.20000000001</v>
      </c>
      <c r="J358" s="18">
        <f>2717.75+2942.92</f>
        <v>5660.67</v>
      </c>
      <c r="K358" s="18">
        <f>761.92+1438.4</f>
        <v>2200.3200000000002</v>
      </c>
      <c r="L358" s="13">
        <f>SUM(F358:K358)</f>
        <v>514309.61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27562.89+82111.36</f>
        <v>109674.25</v>
      </c>
      <c r="G359" s="18">
        <f>15579.94+36798.18</f>
        <v>52378.12</v>
      </c>
      <c r="H359" s="18">
        <f>3814.72+3816.35</f>
        <v>7631.07</v>
      </c>
      <c r="I359" s="18">
        <f>446.52+1231.7+8978.8+101536.39</f>
        <v>112193.41</v>
      </c>
      <c r="J359" s="18">
        <f>1524.59</f>
        <v>1524.59</v>
      </c>
      <c r="K359" s="18">
        <f>427.42+491.8</f>
        <v>919.22</v>
      </c>
      <c r="L359" s="19">
        <f>SUM(F359:K359)</f>
        <v>284320.65999999997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43141.92+84263.97</f>
        <v>127405.89</v>
      </c>
      <c r="G360" s="18">
        <f>24385.99+61224.86</f>
        <v>85610.85</v>
      </c>
      <c r="H360" s="18">
        <f>5970.87+1904.14</f>
        <v>7875.01</v>
      </c>
      <c r="I360" s="18">
        <f>1927.88+698.9+9597.62+151155.93</f>
        <v>163380.32999999999</v>
      </c>
      <c r="J360" s="18">
        <f>2386.32+5220.91</f>
        <v>7607.23</v>
      </c>
      <c r="K360" s="18">
        <f>669+543.75</f>
        <v>1212.75</v>
      </c>
      <c r="L360" s="19">
        <f>SUM(F360:K360)</f>
        <v>393092.05999999994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449320.22000000003</v>
      </c>
      <c r="G362" s="47">
        <f t="shared" si="22"/>
        <v>275523.25</v>
      </c>
      <c r="H362" s="47">
        <f t="shared" si="22"/>
        <v>24174.14</v>
      </c>
      <c r="I362" s="47">
        <f t="shared" si="22"/>
        <v>423579.94</v>
      </c>
      <c r="J362" s="47">
        <f t="shared" si="22"/>
        <v>14792.49</v>
      </c>
      <c r="K362" s="47">
        <f t="shared" si="22"/>
        <v>4332.29</v>
      </c>
      <c r="L362" s="47">
        <f t="shared" si="22"/>
        <v>1191722.33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130969.71+795.97</f>
        <v>131765.68</v>
      </c>
      <c r="G367" s="18">
        <f>446.52+101536.39</f>
        <v>101982.91</v>
      </c>
      <c r="H367" s="18">
        <f>698.9+151155.93</f>
        <v>151854.82999999999</v>
      </c>
      <c r="I367" s="56">
        <f>SUM(F367:H367)</f>
        <v>385603.42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2195.64+14044.88</f>
        <v>16240.519999999999</v>
      </c>
      <c r="G368" s="63">
        <f>1231.7+8978.8</f>
        <v>10210.5</v>
      </c>
      <c r="H368" s="63">
        <f>1927.88+9597.62</f>
        <v>11525.5</v>
      </c>
      <c r="I368" s="56">
        <f>SUM(F368:H368)</f>
        <v>37976.519999999997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148006.19999999998</v>
      </c>
      <c r="G369" s="47">
        <f>SUM(G367:G368)</f>
        <v>112193.41</v>
      </c>
      <c r="H369" s="47">
        <f>SUM(H367:H368)</f>
        <v>163380.32999999999</v>
      </c>
      <c r="I369" s="47">
        <f>SUM(I367:I368)</f>
        <v>423579.94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100000</v>
      </c>
      <c r="H388" s="18">
        <v>5234.83</v>
      </c>
      <c r="I388" s="18"/>
      <c r="J388" s="24" t="s">
        <v>288</v>
      </c>
      <c r="K388" s="24" t="s">
        <v>288</v>
      </c>
      <c r="L388" s="56">
        <f t="shared" si="25"/>
        <v>105234.83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>
        <v>196601.02</v>
      </c>
      <c r="J392" s="24" t="s">
        <v>288</v>
      </c>
      <c r="K392" s="24" t="s">
        <v>288</v>
      </c>
      <c r="L392" s="56">
        <f t="shared" si="25"/>
        <v>196601.02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5234.83</v>
      </c>
      <c r="I393" s="65">
        <f>SUM(I387:I392)</f>
        <v>196601.02</v>
      </c>
      <c r="J393" s="45" t="s">
        <v>288</v>
      </c>
      <c r="K393" s="45" t="s">
        <v>288</v>
      </c>
      <c r="L393" s="47">
        <f>SUM(L387:L392)</f>
        <v>301835.84999999998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100000</v>
      </c>
      <c r="H397" s="18">
        <v>6282.05</v>
      </c>
      <c r="I397" s="18"/>
      <c r="J397" s="24" t="s">
        <v>288</v>
      </c>
      <c r="K397" s="24" t="s">
        <v>288</v>
      </c>
      <c r="L397" s="56">
        <f t="shared" si="26"/>
        <v>106282.05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16.9+2026.74</f>
        <v>2043.64</v>
      </c>
      <c r="I400" s="18"/>
      <c r="J400" s="24" t="s">
        <v>288</v>
      </c>
      <c r="K400" s="24" t="s">
        <v>288</v>
      </c>
      <c r="L400" s="56">
        <f t="shared" si="26"/>
        <v>2043.64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8325.69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108325.69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v>15.47</v>
      </c>
      <c r="I403" s="18"/>
      <c r="J403" s="24" t="s">
        <v>288</v>
      </c>
      <c r="K403" s="24" t="s">
        <v>288</v>
      </c>
      <c r="L403" s="56">
        <f>SUM(F403:K403)</f>
        <v>15.47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15.47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15.47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13575.99</v>
      </c>
      <c r="I408" s="47">
        <f>I393+I401+I407</f>
        <v>196601.02</v>
      </c>
      <c r="J408" s="24" t="s">
        <v>288</v>
      </c>
      <c r="K408" s="24" t="s">
        <v>288</v>
      </c>
      <c r="L408" s="47">
        <f>L393+L401+L407</f>
        <v>410177.00999999995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>
        <v>150000</v>
      </c>
      <c r="L414" s="56">
        <f t="shared" si="27"/>
        <v>150000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>
        <f>97551.04+11493.6</f>
        <v>109044.64</v>
      </c>
      <c r="I418" s="18"/>
      <c r="J418" s="18">
        <f>50513.99+37042.39</f>
        <v>87556.38</v>
      </c>
      <c r="K418" s="18"/>
      <c r="L418" s="56">
        <f t="shared" si="27"/>
        <v>196601.02000000002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109044.64</v>
      </c>
      <c r="I419" s="139">
        <f t="shared" si="28"/>
        <v>0</v>
      </c>
      <c r="J419" s="139">
        <f t="shared" si="28"/>
        <v>87556.38</v>
      </c>
      <c r="K419" s="139">
        <f t="shared" si="28"/>
        <v>150000</v>
      </c>
      <c r="L419" s="47">
        <f t="shared" si="28"/>
        <v>346601.02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109044.64</v>
      </c>
      <c r="I434" s="47">
        <f t="shared" si="32"/>
        <v>0</v>
      </c>
      <c r="J434" s="47">
        <f t="shared" si="32"/>
        <v>87556.38</v>
      </c>
      <c r="K434" s="47">
        <f t="shared" si="32"/>
        <v>150000</v>
      </c>
      <c r="L434" s="47">
        <f t="shared" si="32"/>
        <v>346601.02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206110.33</v>
      </c>
      <c r="G439" s="18">
        <f>1.14+987.03+118380.77+390341.42-834.23</f>
        <v>508876.13</v>
      </c>
      <c r="H439" s="18">
        <v>833.93</v>
      </c>
      <c r="I439" s="56">
        <f t="shared" ref="I439:I445" si="33">SUM(F439:H439)</f>
        <v>715820.39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206110.33</v>
      </c>
      <c r="G446" s="13">
        <f>SUM(G439:G445)</f>
        <v>508876.13</v>
      </c>
      <c r="H446" s="13">
        <f>SUM(H439:H445)</f>
        <v>833.93</v>
      </c>
      <c r="I446" s="13">
        <f>SUM(I439:I445)</f>
        <v>715820.39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206110.33</v>
      </c>
      <c r="G459" s="18">
        <v>508876.13</v>
      </c>
      <c r="H459" s="18">
        <v>833.93</v>
      </c>
      <c r="I459" s="56">
        <f t="shared" si="34"/>
        <v>715820.39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206110.33</v>
      </c>
      <c r="G460" s="83">
        <f>SUM(G454:G459)</f>
        <v>508876.13</v>
      </c>
      <c r="H460" s="83">
        <f>SUM(H454:H459)</f>
        <v>833.93</v>
      </c>
      <c r="I460" s="83">
        <f>SUM(I454:I459)</f>
        <v>715820.39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206110.33</v>
      </c>
      <c r="G461" s="42">
        <f>G452+G460</f>
        <v>508876.13</v>
      </c>
      <c r="H461" s="42">
        <f>H452+H460</f>
        <v>833.93</v>
      </c>
      <c r="I461" s="42">
        <f>I452+I460</f>
        <v>715820.39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1380762.28</v>
      </c>
      <c r="G465" s="18">
        <v>98081.77</v>
      </c>
      <c r="H465" s="18">
        <v>320564.39</v>
      </c>
      <c r="I465" s="18"/>
      <c r="J465" s="18">
        <v>652244.4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47945907.520000003</v>
      </c>
      <c r="G468" s="18">
        <v>1159264.43</v>
      </c>
      <c r="H468" s="18">
        <f>145399.24+1663466.42</f>
        <v>1808865.66</v>
      </c>
      <c r="I468" s="18"/>
      <c r="J468" s="18">
        <f>196601.02+200000+13575.99</f>
        <v>410177.01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47945907.520000003</v>
      </c>
      <c r="G470" s="53">
        <f>SUM(G468:G469)</f>
        <v>1159264.43</v>
      </c>
      <c r="H470" s="53">
        <f>SUM(H468:H469)</f>
        <v>1808865.66</v>
      </c>
      <c r="I470" s="53">
        <f>SUM(I468:I469)</f>
        <v>0</v>
      </c>
      <c r="J470" s="53">
        <f>SUM(J468:J469)</f>
        <v>410177.01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47948187.310000002</v>
      </c>
      <c r="G472" s="18">
        <v>1191722.33</v>
      </c>
      <c r="H472" s="18">
        <v>1784374.31</v>
      </c>
      <c r="I472" s="18"/>
      <c r="J472" s="18">
        <f>196601.02+150000</f>
        <v>346601.02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47948187.310000002</v>
      </c>
      <c r="G474" s="53">
        <f>SUM(G472:G473)</f>
        <v>1191722.33</v>
      </c>
      <c r="H474" s="53">
        <f>SUM(H472:H473)</f>
        <v>1784374.31</v>
      </c>
      <c r="I474" s="53">
        <f>SUM(I472:I473)</f>
        <v>0</v>
      </c>
      <c r="J474" s="53">
        <f>SUM(J472:J473)</f>
        <v>346601.02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1378482.4900000021</v>
      </c>
      <c r="G476" s="53">
        <f>(G465+G470)- G474</f>
        <v>65623.869999999879</v>
      </c>
      <c r="H476" s="53">
        <f>(H465+H470)- H474</f>
        <v>345055.73999999976</v>
      </c>
      <c r="I476" s="53">
        <f>(I465+I470)- I474</f>
        <v>0</v>
      </c>
      <c r="J476" s="53">
        <f>(J465+J470)- J474</f>
        <v>715820.39000000013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12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8220000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2.7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3770000</v>
      </c>
      <c r="G495" s="18"/>
      <c r="H495" s="18"/>
      <c r="I495" s="18"/>
      <c r="J495" s="18"/>
      <c r="K495" s="53">
        <f>SUM(F495:J495)</f>
        <v>3770000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795000</v>
      </c>
      <c r="G497" s="18"/>
      <c r="H497" s="18"/>
      <c r="I497" s="18"/>
      <c r="J497" s="18"/>
      <c r="K497" s="53">
        <f t="shared" si="35"/>
        <v>795000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2975000</v>
      </c>
      <c r="G498" s="204"/>
      <c r="H498" s="204"/>
      <c r="I498" s="204"/>
      <c r="J498" s="204"/>
      <c r="K498" s="205">
        <f t="shared" si="35"/>
        <v>2975000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226203.14</v>
      </c>
      <c r="G499" s="18"/>
      <c r="H499" s="18"/>
      <c r="I499" s="18"/>
      <c r="J499" s="18"/>
      <c r="K499" s="53">
        <f t="shared" si="35"/>
        <v>226203.14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3201203.14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3201203.14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775000</v>
      </c>
      <c r="G501" s="204"/>
      <c r="H501" s="204"/>
      <c r="I501" s="204"/>
      <c r="J501" s="204"/>
      <c r="K501" s="205">
        <f t="shared" si="35"/>
        <v>775000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93193.76</v>
      </c>
      <c r="G502" s="18"/>
      <c r="H502" s="18"/>
      <c r="I502" s="18"/>
      <c r="J502" s="18"/>
      <c r="K502" s="53">
        <f t="shared" si="35"/>
        <v>93193.76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868193.76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868193.76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1847295.34</v>
      </c>
      <c r="G507" s="144">
        <v>1949395.52</v>
      </c>
      <c r="H507" s="144">
        <v>-1847295.34</v>
      </c>
      <c r="I507" s="144">
        <f>F507+G507+H507</f>
        <v>1949395.5200000003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2435312.2599999998</v>
      </c>
      <c r="G521" s="18">
        <v>903217.71</v>
      </c>
      <c r="H521" s="18">
        <v>551372.69999999995</v>
      </c>
      <c r="I521" s="18">
        <v>30540.01</v>
      </c>
      <c r="J521" s="18">
        <v>19919.22</v>
      </c>
      <c r="K521" s="18">
        <v>7907.01</v>
      </c>
      <c r="L521" s="88">
        <f>SUM(F521:K521)</f>
        <v>3948268.9099999997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1025312.37</v>
      </c>
      <c r="G522" s="18">
        <v>471288.44</v>
      </c>
      <c r="H522" s="18">
        <v>445059.36</v>
      </c>
      <c r="I522" s="18">
        <v>5799.37</v>
      </c>
      <c r="J522" s="18">
        <v>29462.81</v>
      </c>
      <c r="K522" s="18">
        <v>5920.03</v>
      </c>
      <c r="L522" s="88">
        <f>SUM(F522:K522)</f>
        <v>1982842.3800000001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1429594.26</v>
      </c>
      <c r="G523" s="18">
        <v>495379</v>
      </c>
      <c r="H523" s="18">
        <v>534119.38</v>
      </c>
      <c r="I523" s="18">
        <v>4296.3500000000004</v>
      </c>
      <c r="J523" s="18">
        <v>5960.46</v>
      </c>
      <c r="K523" s="18">
        <v>6505.21</v>
      </c>
      <c r="L523" s="88">
        <f>SUM(F523:K523)</f>
        <v>2475854.66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4890218.8899999997</v>
      </c>
      <c r="G524" s="108">
        <f t="shared" ref="G524:L524" si="36">SUM(G521:G523)</f>
        <v>1869885.15</v>
      </c>
      <c r="H524" s="108">
        <f t="shared" si="36"/>
        <v>1530551.44</v>
      </c>
      <c r="I524" s="108">
        <f t="shared" si="36"/>
        <v>40635.729999999996</v>
      </c>
      <c r="J524" s="108">
        <f t="shared" si="36"/>
        <v>55342.49</v>
      </c>
      <c r="K524" s="108">
        <f t="shared" si="36"/>
        <v>20332.25</v>
      </c>
      <c r="L524" s="89">
        <f t="shared" si="36"/>
        <v>8406965.9499999993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324316.85+103344.12</f>
        <v>427660.97</v>
      </c>
      <c r="G526" s="18">
        <f>159590.11+44875.26</f>
        <v>204465.37</v>
      </c>
      <c r="H526" s="18">
        <f>154872.99</f>
        <v>154872.99</v>
      </c>
      <c r="I526" s="18">
        <f>3436.67+11135.72</f>
        <v>14572.39</v>
      </c>
      <c r="J526" s="18">
        <f>383.85+936.75</f>
        <v>1320.6</v>
      </c>
      <c r="K526" s="18">
        <v>45</v>
      </c>
      <c r="L526" s="88">
        <f>SUM(F526:K526)</f>
        <v>802937.32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261255.24+89763.85</f>
        <v>351019.08999999997</v>
      </c>
      <c r="G527" s="18">
        <f>128558.7+68675.35</f>
        <v>197234.05</v>
      </c>
      <c r="H527" s="18">
        <f>124758.79</f>
        <v>124758.79</v>
      </c>
      <c r="I527" s="18">
        <f>2768.43+3518.2</f>
        <v>6286.6299999999992</v>
      </c>
      <c r="J527" s="18">
        <f>309.21</f>
        <v>309.20999999999998</v>
      </c>
      <c r="K527" s="18">
        <v>36.25</v>
      </c>
      <c r="L527" s="88">
        <f>SUM(F527:K527)</f>
        <v>679644.0199999999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315308.05+46888.65</f>
        <v>362196.7</v>
      </c>
      <c r="G528" s="18">
        <f>155157.05+25581.93</f>
        <v>180738.97999999998</v>
      </c>
      <c r="H528" s="18">
        <f>150570.96</f>
        <v>150570.96</v>
      </c>
      <c r="I528" s="18">
        <f>3341.21+2417.48</f>
        <v>5758.6900000000005</v>
      </c>
      <c r="J528" s="18">
        <f>373.19</f>
        <v>373.19</v>
      </c>
      <c r="K528" s="18">
        <v>43.75</v>
      </c>
      <c r="L528" s="88">
        <f>SUM(F528:K528)</f>
        <v>699682.26999999979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1140876.76</v>
      </c>
      <c r="G529" s="89">
        <f t="shared" ref="G529:L529" si="37">SUM(G526:G528)</f>
        <v>582438.39999999991</v>
      </c>
      <c r="H529" s="89">
        <f t="shared" si="37"/>
        <v>430202.74</v>
      </c>
      <c r="I529" s="89">
        <f t="shared" si="37"/>
        <v>26617.71</v>
      </c>
      <c r="J529" s="89">
        <f t="shared" si="37"/>
        <v>2003</v>
      </c>
      <c r="K529" s="89">
        <f t="shared" si="37"/>
        <v>125</v>
      </c>
      <c r="L529" s="89">
        <f t="shared" si="37"/>
        <v>2182263.6099999994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55278.42</v>
      </c>
      <c r="G531" s="18">
        <v>29851.23</v>
      </c>
      <c r="H531" s="18">
        <v>2410.13</v>
      </c>
      <c r="I531" s="18">
        <v>1599.66</v>
      </c>
      <c r="J531" s="18">
        <v>7329.91</v>
      </c>
      <c r="K531" s="18">
        <v>390.24</v>
      </c>
      <c r="L531" s="88">
        <f>SUM(F531:K531)</f>
        <v>96859.590000000011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44529.84</v>
      </c>
      <c r="G532" s="18">
        <v>24046.83</v>
      </c>
      <c r="H532" s="18">
        <v>1941.49</v>
      </c>
      <c r="I532" s="18">
        <v>1288.6199999999999</v>
      </c>
      <c r="J532" s="18">
        <v>5904.65</v>
      </c>
      <c r="K532" s="18">
        <v>314.36</v>
      </c>
      <c r="L532" s="88">
        <f>SUM(F532:K532)</f>
        <v>78025.789999999994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53742.91</v>
      </c>
      <c r="G533" s="18">
        <v>29022.03</v>
      </c>
      <c r="H533" s="18">
        <v>2343.1799999999998</v>
      </c>
      <c r="I533" s="18">
        <v>1555.23</v>
      </c>
      <c r="J533" s="18">
        <v>7126.3</v>
      </c>
      <c r="K533" s="18">
        <v>379.4</v>
      </c>
      <c r="L533" s="88">
        <f>SUM(F533:K533)</f>
        <v>94169.049999999988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153551.16999999998</v>
      </c>
      <c r="G534" s="89">
        <f t="shared" ref="G534:L534" si="38">SUM(G531:G533)</f>
        <v>82920.09</v>
      </c>
      <c r="H534" s="89">
        <f t="shared" si="38"/>
        <v>6694.7999999999993</v>
      </c>
      <c r="I534" s="89">
        <f t="shared" si="38"/>
        <v>4443.51</v>
      </c>
      <c r="J534" s="89">
        <f t="shared" si="38"/>
        <v>20360.86</v>
      </c>
      <c r="K534" s="89">
        <f t="shared" si="38"/>
        <v>1084</v>
      </c>
      <c r="L534" s="89">
        <f t="shared" si="38"/>
        <v>269054.43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6012.19</v>
      </c>
      <c r="I536" s="18"/>
      <c r="J536" s="18"/>
      <c r="K536" s="18"/>
      <c r="L536" s="88">
        <f>SUM(F536:K536)</f>
        <v>6012.19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4843.16</v>
      </c>
      <c r="I537" s="18"/>
      <c r="J537" s="18"/>
      <c r="K537" s="18"/>
      <c r="L537" s="88">
        <f>SUM(F537:K537)</f>
        <v>4843.16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5845.19</v>
      </c>
      <c r="I538" s="18"/>
      <c r="J538" s="18"/>
      <c r="K538" s="18"/>
      <c r="L538" s="88">
        <f>SUM(F538:K538)</f>
        <v>5845.19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16700.539999999997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16700.539999999997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151089.47</v>
      </c>
      <c r="I541" s="18"/>
      <c r="J541" s="18"/>
      <c r="K541" s="18"/>
      <c r="L541" s="88">
        <f>SUM(F541:K541)</f>
        <v>151089.47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121203.64</v>
      </c>
      <c r="I542" s="18"/>
      <c r="J542" s="18"/>
      <c r="K542" s="18"/>
      <c r="L542" s="88">
        <f>SUM(F542:K542)</f>
        <v>121203.64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143618.01</v>
      </c>
      <c r="I543" s="18"/>
      <c r="J543" s="18"/>
      <c r="K543" s="18"/>
      <c r="L543" s="88">
        <f>SUM(F543:K543)</f>
        <v>143618.01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415911.12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415911.12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6184646.8199999994</v>
      </c>
      <c r="G545" s="89">
        <f t="shared" ref="G545:L545" si="41">G524+G529+G534+G539+G544</f>
        <v>2535243.6399999997</v>
      </c>
      <c r="H545" s="89">
        <f t="shared" si="41"/>
        <v>2400060.64</v>
      </c>
      <c r="I545" s="89">
        <f t="shared" si="41"/>
        <v>71696.95</v>
      </c>
      <c r="J545" s="89">
        <f t="shared" si="41"/>
        <v>77706.350000000006</v>
      </c>
      <c r="K545" s="89">
        <f t="shared" si="41"/>
        <v>21541.25</v>
      </c>
      <c r="L545" s="89">
        <f t="shared" si="41"/>
        <v>11290895.649999997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3948268.9099999997</v>
      </c>
      <c r="G549" s="87">
        <f>L526</f>
        <v>802937.32</v>
      </c>
      <c r="H549" s="87">
        <f>L531</f>
        <v>96859.590000000011</v>
      </c>
      <c r="I549" s="87">
        <f>L536</f>
        <v>6012.19</v>
      </c>
      <c r="J549" s="87">
        <f>L541</f>
        <v>151089.47</v>
      </c>
      <c r="K549" s="87">
        <f>SUM(F549:J549)</f>
        <v>5005167.4799999995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1982842.3800000001</v>
      </c>
      <c r="G550" s="87">
        <f>L527</f>
        <v>679644.0199999999</v>
      </c>
      <c r="H550" s="87">
        <f>L532</f>
        <v>78025.789999999994</v>
      </c>
      <c r="I550" s="87">
        <f>L537</f>
        <v>4843.16</v>
      </c>
      <c r="J550" s="87">
        <f>L542</f>
        <v>121203.64</v>
      </c>
      <c r="K550" s="87">
        <f>SUM(F550:J550)</f>
        <v>2866558.99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2475854.66</v>
      </c>
      <c r="G551" s="87">
        <f>L528</f>
        <v>699682.26999999979</v>
      </c>
      <c r="H551" s="87">
        <f>L533</f>
        <v>94169.049999999988</v>
      </c>
      <c r="I551" s="87">
        <f>L538</f>
        <v>5845.19</v>
      </c>
      <c r="J551" s="87">
        <f>L543</f>
        <v>143618.01</v>
      </c>
      <c r="K551" s="87">
        <f>SUM(F551:J551)</f>
        <v>3419169.1799999997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8406965.9499999993</v>
      </c>
      <c r="G552" s="89">
        <f t="shared" si="42"/>
        <v>2182263.6099999994</v>
      </c>
      <c r="H552" s="89">
        <f t="shared" si="42"/>
        <v>269054.43</v>
      </c>
      <c r="I552" s="89">
        <f t="shared" si="42"/>
        <v>16700.539999999997</v>
      </c>
      <c r="J552" s="89">
        <f t="shared" si="42"/>
        <v>415911.12</v>
      </c>
      <c r="K552" s="89">
        <f t="shared" si="42"/>
        <v>11290895.649999999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48189.7</v>
      </c>
      <c r="G562" s="18">
        <v>27677.919999999998</v>
      </c>
      <c r="H562" s="18">
        <v>282.89999999999998</v>
      </c>
      <c r="I562" s="18">
        <v>1482.81</v>
      </c>
      <c r="J562" s="18">
        <v>1740.53</v>
      </c>
      <c r="K562" s="18"/>
      <c r="L562" s="88">
        <f>SUM(F562:K562)</f>
        <v>79373.859999999986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78033.25</v>
      </c>
      <c r="G563" s="18">
        <v>44721.7</v>
      </c>
      <c r="H563" s="18">
        <v>158.69999999999999</v>
      </c>
      <c r="I563" s="18">
        <v>697.98</v>
      </c>
      <c r="J563" s="18">
        <v>976.4</v>
      </c>
      <c r="K563" s="18"/>
      <c r="L563" s="88">
        <f>SUM(F563:K563)</f>
        <v>124588.02999999998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42312.91</v>
      </c>
      <c r="G564" s="18">
        <v>24302.57</v>
      </c>
      <c r="H564" s="18">
        <v>248.4</v>
      </c>
      <c r="I564" s="18">
        <v>1092.49</v>
      </c>
      <c r="J564" s="18">
        <v>1528.27</v>
      </c>
      <c r="K564" s="18"/>
      <c r="L564" s="88">
        <f>SUM(F564:K564)</f>
        <v>69484.640000000014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168535.86</v>
      </c>
      <c r="G565" s="89">
        <f t="shared" si="44"/>
        <v>96702.19</v>
      </c>
      <c r="H565" s="89">
        <f t="shared" si="44"/>
        <v>690</v>
      </c>
      <c r="I565" s="89">
        <f t="shared" si="44"/>
        <v>3273.2799999999997</v>
      </c>
      <c r="J565" s="89">
        <f t="shared" si="44"/>
        <v>4245.2</v>
      </c>
      <c r="K565" s="89">
        <f t="shared" si="44"/>
        <v>0</v>
      </c>
      <c r="L565" s="89">
        <f t="shared" si="44"/>
        <v>273446.52999999997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168535.86</v>
      </c>
      <c r="G571" s="89">
        <f t="shared" ref="G571:L571" si="46">G560+G565+G570</f>
        <v>96702.19</v>
      </c>
      <c r="H571" s="89">
        <f t="shared" si="46"/>
        <v>690</v>
      </c>
      <c r="I571" s="89">
        <f t="shared" si="46"/>
        <v>3273.2799999999997</v>
      </c>
      <c r="J571" s="89">
        <f t="shared" si="46"/>
        <v>4245.2</v>
      </c>
      <c r="K571" s="89">
        <f t="shared" si="46"/>
        <v>0</v>
      </c>
      <c r="L571" s="89">
        <f t="shared" si="46"/>
        <v>273446.52999999997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18950.68</v>
      </c>
      <c r="G579" s="18">
        <v>21128.86</v>
      </c>
      <c r="H579" s="18"/>
      <c r="I579" s="87">
        <f t="shared" si="47"/>
        <v>40079.54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f>63657.82-21128.86</f>
        <v>42528.959999999999</v>
      </c>
      <c r="H582" s="18">
        <v>1039274.55</v>
      </c>
      <c r="I582" s="87">
        <f t="shared" si="47"/>
        <v>1081803.51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8342.1299999999992</v>
      </c>
      <c r="I584" s="87">
        <f t="shared" si="47"/>
        <v>8342.1299999999992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576278.9-3031.86+805.71</f>
        <v>574052.75</v>
      </c>
      <c r="I591" s="18">
        <v>321577.61</v>
      </c>
      <c r="J591" s="18">
        <f>505864.4-2580.1-2524.82</f>
        <v>500759.48000000004</v>
      </c>
      <c r="K591" s="104">
        <f t="shared" ref="K591:K597" si="48">SUM(H591:J591)</f>
        <v>1396389.84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149728.01</v>
      </c>
      <c r="I592" s="18">
        <v>120614.23</v>
      </c>
      <c r="J592" s="18">
        <v>145568.9</v>
      </c>
      <c r="K592" s="104">
        <f t="shared" si="48"/>
        <v>415911.14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2580.1</v>
      </c>
      <c r="K593" s="104">
        <f t="shared" si="48"/>
        <v>2580.1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3031.86</v>
      </c>
      <c r="I596" s="18"/>
      <c r="J596" s="18"/>
      <c r="K596" s="104">
        <f t="shared" si="48"/>
        <v>3031.86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>
        <v>2524.8200000000002</v>
      </c>
      <c r="K597" s="104">
        <f t="shared" si="48"/>
        <v>2524.8200000000002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726812.62</v>
      </c>
      <c r="I598" s="108">
        <f>SUM(I591:I597)</f>
        <v>442191.83999999997</v>
      </c>
      <c r="J598" s="108">
        <f>SUM(J591:J597)</f>
        <v>651433.29999999993</v>
      </c>
      <c r="K598" s="108">
        <f>SUM(K591:K597)</f>
        <v>1820437.7600000002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326522.91+1528.27</f>
        <v>328051.18</v>
      </c>
      <c r="I604" s="18">
        <f>218687.31+21121.25</f>
        <v>239808.56</v>
      </c>
      <c r="J604" s="18">
        <f>333114.25+13395.9+18742.81</f>
        <v>365252.96</v>
      </c>
      <c r="K604" s="104">
        <f>SUM(H604:J604)</f>
        <v>933112.7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328051.18</v>
      </c>
      <c r="I605" s="108">
        <f>SUM(I602:I604)</f>
        <v>239808.56</v>
      </c>
      <c r="J605" s="108">
        <f>SUM(J602:J604)</f>
        <v>365252.96</v>
      </c>
      <c r="K605" s="108">
        <f>SUM(K602:K604)</f>
        <v>933112.7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49990.87</v>
      </c>
      <c r="G611" s="18">
        <f>3810.35+339.35+4848.9</f>
        <v>8998.5999999999985</v>
      </c>
      <c r="H611" s="18">
        <v>4772.43</v>
      </c>
      <c r="I611" s="18"/>
      <c r="J611" s="18"/>
      <c r="K611" s="18"/>
      <c r="L611" s="88">
        <f>SUM(F611:K611)</f>
        <v>63761.9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40270.43</v>
      </c>
      <c r="G612" s="18">
        <f>3069.45+273.37+3906.06</f>
        <v>7248.8799999999992</v>
      </c>
      <c r="H612" s="18">
        <v>3844.46</v>
      </c>
      <c r="I612" s="18"/>
      <c r="J612" s="18"/>
      <c r="K612" s="18"/>
      <c r="L612" s="88">
        <f>SUM(F612:K612)</f>
        <v>51363.77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48602.239999999998</v>
      </c>
      <c r="G613" s="18">
        <f>3704.51+629.92+4714.21</f>
        <v>9048.64</v>
      </c>
      <c r="H613" s="18">
        <v>4639.8599999999997</v>
      </c>
      <c r="I613" s="18"/>
      <c r="J613" s="18"/>
      <c r="K613" s="18"/>
      <c r="L613" s="88">
        <f>SUM(F613:K613)</f>
        <v>62290.74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138863.54</v>
      </c>
      <c r="G614" s="108">
        <f t="shared" si="49"/>
        <v>25296.119999999995</v>
      </c>
      <c r="H614" s="108">
        <f t="shared" si="49"/>
        <v>13256.75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177416.41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3262745.8500000006</v>
      </c>
      <c r="H617" s="109">
        <f>SUM(F52)</f>
        <v>3262745.8499999996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100683.51999999999</v>
      </c>
      <c r="H618" s="109">
        <f>SUM(G52)</f>
        <v>100683.51999999999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361277.71</v>
      </c>
      <c r="H619" s="109">
        <f>SUM(H52)</f>
        <v>361277.70999999996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715820.39</v>
      </c>
      <c r="H621" s="109">
        <f>SUM(J52)</f>
        <v>715820.39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1378482.49</v>
      </c>
      <c r="H622" s="109">
        <f>F476</f>
        <v>1378482.4900000021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65623.87</v>
      </c>
      <c r="H623" s="109">
        <f>G476</f>
        <v>65623.869999999879</v>
      </c>
      <c r="I623" s="121" t="s">
        <v>102</v>
      </c>
      <c r="J623" s="109">
        <f t="shared" si="50"/>
        <v>1.1641532182693481E-10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345055.74</v>
      </c>
      <c r="H624" s="109">
        <f>H476</f>
        <v>345055.73999999976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715820.39</v>
      </c>
      <c r="H626" s="109">
        <f>J476</f>
        <v>715820.39000000013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47945907.520000003</v>
      </c>
      <c r="H627" s="104">
        <f>SUM(F468)</f>
        <v>47945907.520000003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1159264.43</v>
      </c>
      <c r="H628" s="104">
        <f>SUM(G468)</f>
        <v>1159264.43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1808865.6600000001</v>
      </c>
      <c r="H629" s="104">
        <f>SUM(H468)</f>
        <v>1808865.66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410177.01</v>
      </c>
      <c r="H631" s="104">
        <f>SUM(J468)</f>
        <v>410177.01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47948187.309999995</v>
      </c>
      <c r="H632" s="104">
        <f>SUM(F472)</f>
        <v>47948187.310000002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1784374.3099999998</v>
      </c>
      <c r="H633" s="104">
        <f>SUM(H472)</f>
        <v>1784374.31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423579.94</v>
      </c>
      <c r="H634" s="104">
        <f>I369</f>
        <v>423579.94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1191722.33</v>
      </c>
      <c r="H635" s="104">
        <f>SUM(G472)</f>
        <v>1191722.33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410177.00999999995</v>
      </c>
      <c r="H637" s="164">
        <f>SUM(J468)</f>
        <v>410177.01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346601.02</v>
      </c>
      <c r="H638" s="164">
        <f>SUM(J472)</f>
        <v>346601.02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206110.33</v>
      </c>
      <c r="H639" s="104">
        <f>SUM(F461)</f>
        <v>206110.33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508876.13</v>
      </c>
      <c r="H640" s="104">
        <f>SUM(G461)</f>
        <v>508876.13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833.93</v>
      </c>
      <c r="H641" s="104">
        <f>SUM(H461)</f>
        <v>833.93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715820.39</v>
      </c>
      <c r="H642" s="104">
        <f>SUM(I461)</f>
        <v>715820.39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13575.99</v>
      </c>
      <c r="H644" s="104">
        <f>H408</f>
        <v>13575.99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200000</v>
      </c>
      <c r="H645" s="104">
        <f>G408</f>
        <v>200000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410177.01</v>
      </c>
      <c r="H646" s="104">
        <f>L408</f>
        <v>410177.00999999995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1820437.7600000002</v>
      </c>
      <c r="H647" s="104">
        <f>L208+L226+L244</f>
        <v>1820437.76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933112.7</v>
      </c>
      <c r="H648" s="104">
        <f>(J257+J338)-(J255+J336)</f>
        <v>933112.7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726812.62</v>
      </c>
      <c r="H649" s="104">
        <f>H598</f>
        <v>726812.62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442191.83999999997</v>
      </c>
      <c r="H650" s="104">
        <f>I598</f>
        <v>442191.83999999997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651433.30000000005</v>
      </c>
      <c r="H651" s="104">
        <f>J598</f>
        <v>651433.29999999993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200000</v>
      </c>
      <c r="H655" s="104">
        <f>K266+K347</f>
        <v>200000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19459541.449999999</v>
      </c>
      <c r="G660" s="19">
        <f>(L229+L309+L359)</f>
        <v>11624259.33</v>
      </c>
      <c r="H660" s="19">
        <f>(L247+L328+L360)</f>
        <v>17635040.609999999</v>
      </c>
      <c r="I660" s="19">
        <f>SUM(F660:H660)</f>
        <v>48718841.390000001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336888.65634748724</v>
      </c>
      <c r="G661" s="19">
        <f>(L359/IF(SUM(L358:L360)=0,1,SUM(L358:L360))*(SUM(G97:G110)))</f>
        <v>186238.80101954687</v>
      </c>
      <c r="H661" s="19">
        <f>(L360/IF(SUM(L358:L360)=0,1,SUM(L358:L360))*(SUM(G97:G110)))</f>
        <v>257487.42263296581</v>
      </c>
      <c r="I661" s="19">
        <f>SUM(F661:H661)</f>
        <v>780614.87999999989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726812.62</v>
      </c>
      <c r="G662" s="19">
        <f>(L226+L306)-(J226+J306)</f>
        <v>442191.83999999997</v>
      </c>
      <c r="H662" s="19">
        <f>(L244+L325)-(J244+J325)</f>
        <v>651433.30000000005</v>
      </c>
      <c r="I662" s="19">
        <f>SUM(F662:H662)</f>
        <v>1820437.76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410763.76</v>
      </c>
      <c r="G663" s="199">
        <f>SUM(G575:G587)+SUM(I602:I604)+L612</f>
        <v>354830.15</v>
      </c>
      <c r="H663" s="199">
        <f>SUM(H575:H587)+SUM(J602:J604)+L613</f>
        <v>1475160.3800000001</v>
      </c>
      <c r="I663" s="19">
        <f>SUM(F663:H663)</f>
        <v>2240754.29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17985076.413652513</v>
      </c>
      <c r="G664" s="19">
        <f>G660-SUM(G661:G663)</f>
        <v>10640998.538980452</v>
      </c>
      <c r="H664" s="19">
        <f>H660-SUM(H661:H663)</f>
        <v>15250959.507367034</v>
      </c>
      <c r="I664" s="19">
        <f>I660-SUM(I661:I663)</f>
        <v>43877034.460000001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1330.58</v>
      </c>
      <c r="G665" s="248">
        <v>793.1</v>
      </c>
      <c r="H665" s="248">
        <v>1235.4000000000001</v>
      </c>
      <c r="I665" s="19">
        <f>SUM(F665:H665)</f>
        <v>3359.08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13516.72</v>
      </c>
      <c r="G667" s="19">
        <f>ROUND(G664/G665,2)</f>
        <v>13416.97</v>
      </c>
      <c r="H667" s="19">
        <f>ROUND(H664/H665,2)</f>
        <v>12344.96</v>
      </c>
      <c r="I667" s="19">
        <f>ROUND(I664/I665,2)</f>
        <v>13062.22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16.510000000000002</v>
      </c>
      <c r="I670" s="19">
        <f>SUM(F670:H670)</f>
        <v>16.510000000000002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13516.72</v>
      </c>
      <c r="G672" s="19">
        <f>ROUND((G664+G669)/(G665+G670),2)</f>
        <v>13416.97</v>
      </c>
      <c r="H672" s="19">
        <f>ROUND((H664+H669)/(H665+H670),2)</f>
        <v>12182.15</v>
      </c>
      <c r="I672" s="19">
        <f>ROUND((I664+I669)/(I665+I670),2)</f>
        <v>12998.33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HUDSON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11360145.17</v>
      </c>
      <c r="C9" s="229">
        <f>'DOE25'!G197+'DOE25'!G215+'DOE25'!G233+'DOE25'!G276+'DOE25'!G295+'DOE25'!G314</f>
        <v>5952505.2599999998</v>
      </c>
    </row>
    <row r="10" spans="1:3" x14ac:dyDescent="0.2">
      <c r="A10" t="s">
        <v>778</v>
      </c>
      <c r="B10" s="240">
        <f>9551485.11+61817.48+4050+249000</f>
        <v>9866352.5899999999</v>
      </c>
      <c r="C10" s="240">
        <f>SUM(B10/B13)*C9</f>
        <v>5169785.6682398031</v>
      </c>
    </row>
    <row r="11" spans="1:3" x14ac:dyDescent="0.2">
      <c r="A11" t="s">
        <v>779</v>
      </c>
      <c r="B11" s="240">
        <f>64809.02+338968.9+16647.29+21815.82</f>
        <v>442241.03</v>
      </c>
      <c r="C11" s="240">
        <f>SUM(B11/B13)*C9</f>
        <v>231726.09309734887</v>
      </c>
    </row>
    <row r="12" spans="1:3" x14ac:dyDescent="0.2">
      <c r="A12" t="s">
        <v>780</v>
      </c>
      <c r="B12" s="240">
        <f>783712.65+227997.6+39841.3</f>
        <v>1051551.55</v>
      </c>
      <c r="C12" s="240">
        <f>SUM(B12/B13)*C9</f>
        <v>550993.49866284791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11360145.17</v>
      </c>
      <c r="C13" s="231">
        <f>SUM(C10:C12)</f>
        <v>5952505.2599999998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4890218.8899999997</v>
      </c>
      <c r="C18" s="229">
        <f>'DOE25'!G198+'DOE25'!G216+'DOE25'!G234+'DOE25'!G277+'DOE25'!G296+'DOE25'!G315</f>
        <v>1869885.14</v>
      </c>
    </row>
    <row r="19" spans="1:3" x14ac:dyDescent="0.2">
      <c r="A19" t="s">
        <v>778</v>
      </c>
      <c r="B19" s="240">
        <f>1980811.43+138863.54+202922.03</f>
        <v>2322596.9999999995</v>
      </c>
      <c r="C19" s="240">
        <f>SUM(B19/B22)*C18</f>
        <v>888097.18219148659</v>
      </c>
    </row>
    <row r="20" spans="1:3" x14ac:dyDescent="0.2">
      <c r="A20" t="s">
        <v>779</v>
      </c>
      <c r="B20" s="240">
        <f>27973.89+1857395.71+83237.32</f>
        <v>1968606.92</v>
      </c>
      <c r="C20" s="240">
        <f>SUM(B20/B22)*C18</f>
        <v>752741.11629984085</v>
      </c>
    </row>
    <row r="21" spans="1:3" x14ac:dyDescent="0.2">
      <c r="A21" t="s">
        <v>780</v>
      </c>
      <c r="B21" s="240">
        <f>200551.15+181635+2158+214670.82</f>
        <v>599014.97</v>
      </c>
      <c r="C21" s="240">
        <f>SUM(B21/B22)*C18</f>
        <v>229046.8415086724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4890218.8899999997</v>
      </c>
      <c r="C22" s="231">
        <f>SUM(C19:C21)</f>
        <v>1869885.14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992744.22</v>
      </c>
      <c r="C27" s="234">
        <f>'DOE25'!G199+'DOE25'!G217+'DOE25'!G235+'DOE25'!G278+'DOE25'!G297+'DOE25'!G316</f>
        <v>546295.34</v>
      </c>
    </row>
    <row r="28" spans="1:3" x14ac:dyDescent="0.2">
      <c r="A28" t="s">
        <v>778</v>
      </c>
      <c r="B28" s="240">
        <f>47555.72+88238.91+89039.77+51000+52200+49500+85000+62500+22800+38000+15577.5+62500+52598.84</f>
        <v>716510.74</v>
      </c>
      <c r="C28" s="240">
        <f>SUM(B28/B31)*C27</f>
        <v>394287.34052156116</v>
      </c>
    </row>
    <row r="29" spans="1:3" x14ac:dyDescent="0.2">
      <c r="A29" t="s">
        <v>779</v>
      </c>
      <c r="B29" s="240">
        <f>28682+28182</f>
        <v>56864</v>
      </c>
      <c r="C29" s="240">
        <f>SUM(B29/B31)*C27</f>
        <v>31291.583056268006</v>
      </c>
    </row>
    <row r="30" spans="1:3" x14ac:dyDescent="0.2">
      <c r="A30" t="s">
        <v>780</v>
      </c>
      <c r="B30" s="240">
        <f>159722.32+40554.66+16040+3052.5</f>
        <v>219369.48</v>
      </c>
      <c r="C30" s="240">
        <f>SUM(B30/B31)*C27</f>
        <v>120716.41642217085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992744.22</v>
      </c>
      <c r="C31" s="231">
        <f>SUM(C28:C30)</f>
        <v>546295.34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315938.03999999998</v>
      </c>
      <c r="C36" s="235">
        <f>'DOE25'!G200+'DOE25'!G218+'DOE25'!G236+'DOE25'!G279+'DOE25'!G298+'DOE25'!G317</f>
        <v>57408.789999999994</v>
      </c>
    </row>
    <row r="37" spans="1:3" x14ac:dyDescent="0.2">
      <c r="A37" t="s">
        <v>778</v>
      </c>
      <c r="B37" s="240">
        <v>315938.03999999998</v>
      </c>
      <c r="C37" s="240">
        <v>57408.79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315938.03999999998</v>
      </c>
      <c r="C40" s="231">
        <f>SUM(C37:C39)</f>
        <v>57408.79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HUDSON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27749562.149999999</v>
      </c>
      <c r="D5" s="20">
        <f>SUM('DOE25'!L197:L200)+SUM('DOE25'!L215:L218)+SUM('DOE25'!L233:L236)-F5-G5</f>
        <v>27530287.640000001</v>
      </c>
      <c r="E5" s="243"/>
      <c r="F5" s="255">
        <f>SUM('DOE25'!J197:J200)+SUM('DOE25'!J215:J218)+SUM('DOE25'!J233:J236)</f>
        <v>191197.45</v>
      </c>
      <c r="G5" s="53">
        <f>SUM('DOE25'!K197:K200)+SUM('DOE25'!K215:K218)+SUM('DOE25'!K233:K236)</f>
        <v>28077.06</v>
      </c>
      <c r="H5" s="259"/>
    </row>
    <row r="6" spans="1:9" x14ac:dyDescent="0.2">
      <c r="A6" s="32">
        <v>2100</v>
      </c>
      <c r="B6" t="s">
        <v>800</v>
      </c>
      <c r="C6" s="245">
        <f t="shared" si="0"/>
        <v>4352501.58</v>
      </c>
      <c r="D6" s="20">
        <f>'DOE25'!L202+'DOE25'!L220+'DOE25'!L238-F6-G6</f>
        <v>4339246.57</v>
      </c>
      <c r="E6" s="243"/>
      <c r="F6" s="255">
        <f>'DOE25'!J202+'DOE25'!J220+'DOE25'!J238</f>
        <v>11987.01</v>
      </c>
      <c r="G6" s="53">
        <f>'DOE25'!K202+'DOE25'!K220+'DOE25'!K238</f>
        <v>1268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1428747.81</v>
      </c>
      <c r="D7" s="20">
        <f>'DOE25'!L203+'DOE25'!L221+'DOE25'!L239-F7-G7</f>
        <v>1205532.6100000001</v>
      </c>
      <c r="E7" s="243"/>
      <c r="F7" s="255">
        <f>'DOE25'!J203+'DOE25'!J221+'DOE25'!J239</f>
        <v>222089.2</v>
      </c>
      <c r="G7" s="53">
        <f>'DOE25'!K203+'DOE25'!K221+'DOE25'!K239</f>
        <v>1126</v>
      </c>
      <c r="H7" s="259"/>
    </row>
    <row r="8" spans="1:9" x14ac:dyDescent="0.2">
      <c r="A8" s="32">
        <v>2300</v>
      </c>
      <c r="B8" t="s">
        <v>801</v>
      </c>
      <c r="C8" s="245">
        <f t="shared" si="0"/>
        <v>398043.02999999997</v>
      </c>
      <c r="D8" s="243"/>
      <c r="E8" s="20">
        <f>'DOE25'!L204+'DOE25'!L222+'DOE25'!L240-F8-G8-D9-D11</f>
        <v>325279.48</v>
      </c>
      <c r="F8" s="255">
        <f>'DOE25'!J204+'DOE25'!J222+'DOE25'!J240</f>
        <v>24886.38</v>
      </c>
      <c r="G8" s="53">
        <f>'DOE25'!K204+'DOE25'!K222+'DOE25'!K240</f>
        <v>47877.17</v>
      </c>
      <c r="H8" s="259"/>
    </row>
    <row r="9" spans="1:9" x14ac:dyDescent="0.2">
      <c r="A9" s="32">
        <v>2310</v>
      </c>
      <c r="B9" t="s">
        <v>817</v>
      </c>
      <c r="C9" s="245">
        <f t="shared" si="0"/>
        <v>37474.33</v>
      </c>
      <c r="D9" s="244">
        <v>37474.33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21107.5</v>
      </c>
      <c r="D10" s="243"/>
      <c r="E10" s="244">
        <v>21107.5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462511.48</v>
      </c>
      <c r="D11" s="244">
        <v>462511.48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2829908.01</v>
      </c>
      <c r="D12" s="20">
        <f>'DOE25'!L205+'DOE25'!L223+'DOE25'!L241-F12-G12</f>
        <v>2819344.01</v>
      </c>
      <c r="E12" s="243"/>
      <c r="F12" s="255">
        <f>'DOE25'!J205+'DOE25'!J223+'DOE25'!J241</f>
        <v>0</v>
      </c>
      <c r="G12" s="53">
        <f>'DOE25'!K205+'DOE25'!K223+'DOE25'!K241</f>
        <v>10564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883405.15999999992</v>
      </c>
      <c r="D13" s="243"/>
      <c r="E13" s="20">
        <f>'DOE25'!L206+'DOE25'!L224+'DOE25'!L242-F13-G13</f>
        <v>878988.14999999991</v>
      </c>
      <c r="F13" s="255">
        <f>'DOE25'!J206+'DOE25'!J224+'DOE25'!J242</f>
        <v>4417.01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5439708.6199999992</v>
      </c>
      <c r="D14" s="20">
        <f>'DOE25'!L207+'DOE25'!L225+'DOE25'!L243-F14-G14</f>
        <v>5213006.8899999987</v>
      </c>
      <c r="E14" s="243"/>
      <c r="F14" s="255">
        <f>'DOE25'!J207+'DOE25'!J225+'DOE25'!J243</f>
        <v>226701.73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1820437.76</v>
      </c>
      <c r="D15" s="20">
        <f>'DOE25'!L208+'DOE25'!L226+'DOE25'!L244-F15-G15</f>
        <v>1820437.76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421858.87</v>
      </c>
      <c r="D16" s="243"/>
      <c r="E16" s="20">
        <f>'DOE25'!L209+'DOE25'!L227+'DOE25'!L245-F16-G16</f>
        <v>223848.18</v>
      </c>
      <c r="F16" s="255">
        <f>'DOE25'!J209+'DOE25'!J227+'DOE25'!J245</f>
        <v>197045.69</v>
      </c>
      <c r="G16" s="53">
        <f>'DOE25'!K209+'DOE25'!K227+'DOE25'!K245</f>
        <v>964.99999999999989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678038.05</v>
      </c>
      <c r="D22" s="243"/>
      <c r="E22" s="243"/>
      <c r="F22" s="255">
        <f>'DOE25'!L255+'DOE25'!L336</f>
        <v>678038.05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1219322.3400000001</v>
      </c>
      <c r="D25" s="243"/>
      <c r="E25" s="243"/>
      <c r="F25" s="258"/>
      <c r="G25" s="256"/>
      <c r="H25" s="257">
        <f>'DOE25'!L260+'DOE25'!L261+'DOE25'!L341+'DOE25'!L342</f>
        <v>1219322.3400000001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806118.91000000015</v>
      </c>
      <c r="D29" s="20">
        <f>'DOE25'!L358+'DOE25'!L359+'DOE25'!L360-'DOE25'!I367-F29-G29</f>
        <v>786994.13000000012</v>
      </c>
      <c r="E29" s="243"/>
      <c r="F29" s="255">
        <f>'DOE25'!J358+'DOE25'!J359+'DOE25'!J360</f>
        <v>14792.49</v>
      </c>
      <c r="G29" s="53">
        <f>'DOE25'!K358+'DOE25'!K359+'DOE25'!K360</f>
        <v>4332.29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1784374.3099999998</v>
      </c>
      <c r="D31" s="20">
        <f>'DOE25'!L290+'DOE25'!L309+'DOE25'!L328+'DOE25'!L333+'DOE25'!L334+'DOE25'!L335-F31-G31</f>
        <v>1696427.0799999998</v>
      </c>
      <c r="E31" s="243"/>
      <c r="F31" s="255">
        <f>'DOE25'!J290+'DOE25'!J309+'DOE25'!J328+'DOE25'!J333+'DOE25'!J334+'DOE25'!J335</f>
        <v>54788.229999999996</v>
      </c>
      <c r="G31" s="53">
        <f>'DOE25'!K290+'DOE25'!K309+'DOE25'!K328+'DOE25'!K333+'DOE25'!K334+'DOE25'!K335</f>
        <v>33159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45911262.499999993</v>
      </c>
      <c r="E33" s="246">
        <f>SUM(E5:E31)</f>
        <v>1449223.3099999998</v>
      </c>
      <c r="F33" s="246">
        <f>SUM(F5:F31)</f>
        <v>1625943.24</v>
      </c>
      <c r="G33" s="246">
        <f>SUM(G5:G31)</f>
        <v>127368.51999999999</v>
      </c>
      <c r="H33" s="246">
        <f>SUM(H5:H31)</f>
        <v>1219322.3400000001</v>
      </c>
    </row>
    <row r="35" spans="2:8" ht="12" thickBot="1" x14ac:dyDescent="0.25">
      <c r="B35" s="253" t="s">
        <v>846</v>
      </c>
      <c r="D35" s="254">
        <f>E33</f>
        <v>1449223.3099999998</v>
      </c>
      <c r="E35" s="249"/>
    </row>
    <row r="36" spans="2:8" ht="12" thickTop="1" x14ac:dyDescent="0.2">
      <c r="B36" t="s">
        <v>814</v>
      </c>
      <c r="D36" s="20">
        <f>D33</f>
        <v>45911262.499999993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6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2722569.14</v>
      </c>
      <c r="D8" s="95">
        <f>'DOE25'!G9</f>
        <v>73747.649999999994</v>
      </c>
      <c r="E8" s="95">
        <f>'DOE25'!H9</f>
        <v>28723.809999999998</v>
      </c>
      <c r="F8" s="95">
        <f>'DOE25'!I9</f>
        <v>0</v>
      </c>
      <c r="G8" s="95">
        <f>'DOE25'!J9</f>
        <v>715820.39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329782.09999999998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202523.74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4737.67</v>
      </c>
      <c r="D13" s="95">
        <f>'DOE25'!G14</f>
        <v>26935.87</v>
      </c>
      <c r="E13" s="95">
        <f>'DOE25'!H14</f>
        <v>332553.90000000002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3133.2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3262745.8500000006</v>
      </c>
      <c r="D18" s="41">
        <f>SUM(D8:D17)</f>
        <v>100683.51999999999</v>
      </c>
      <c r="E18" s="41">
        <f>SUM(E8:E17)</f>
        <v>361277.71</v>
      </c>
      <c r="F18" s="41">
        <f>SUM(F8:F17)</f>
        <v>0</v>
      </c>
      <c r="G18" s="41">
        <f>SUM(G8:G17)</f>
        <v>715820.39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3438.85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418650.05</v>
      </c>
      <c r="D23" s="95">
        <f>'DOE25'!G24</f>
        <v>60.49</v>
      </c>
      <c r="E23" s="95">
        <f>'DOE25'!H24</f>
        <v>9215.2799999999988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26885.83</v>
      </c>
      <c r="D27" s="95">
        <f>'DOE25'!G28</f>
        <v>29722.33</v>
      </c>
      <c r="E27" s="95">
        <f>'DOE25'!H28</f>
        <v>3400.66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1438727.48</v>
      </c>
      <c r="D28" s="95">
        <f>'DOE25'!G29</f>
        <v>5276.83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167.18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1884263.3599999999</v>
      </c>
      <c r="D31" s="41">
        <f>SUM(D21:D30)</f>
        <v>35059.65</v>
      </c>
      <c r="E31" s="41">
        <f>SUM(E21:E30)</f>
        <v>16221.97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3133.2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65623.87</v>
      </c>
      <c r="E47" s="95">
        <f>'DOE25'!H48</f>
        <v>336310.74</v>
      </c>
      <c r="F47" s="95">
        <f>'DOE25'!I48</f>
        <v>0</v>
      </c>
      <c r="G47" s="95">
        <f>'DOE25'!J48</f>
        <v>715820.39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506585.64</v>
      </c>
      <c r="D48" s="95">
        <f>'DOE25'!G49</f>
        <v>0</v>
      </c>
      <c r="E48" s="95">
        <f>'DOE25'!H49</f>
        <v>8745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818763.65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1378482.49</v>
      </c>
      <c r="D50" s="41">
        <f>SUM(D34:D49)</f>
        <v>65623.87</v>
      </c>
      <c r="E50" s="41">
        <f>SUM(E34:E49)</f>
        <v>345055.74</v>
      </c>
      <c r="F50" s="41">
        <f>SUM(F34:F49)</f>
        <v>0</v>
      </c>
      <c r="G50" s="41">
        <f>SUM(G34:G49)</f>
        <v>715820.39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3262745.8499999996</v>
      </c>
      <c r="D51" s="41">
        <f>D50+D31</f>
        <v>100683.51999999999</v>
      </c>
      <c r="E51" s="41">
        <f>E50+E31</f>
        <v>361277.70999999996</v>
      </c>
      <c r="F51" s="41">
        <f>F50+F31</f>
        <v>0</v>
      </c>
      <c r="G51" s="41">
        <f>G50+G31</f>
        <v>715820.39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31493213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169844.66999999998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7799.54</v>
      </c>
      <c r="D59" s="95">
        <f>'DOE25'!G96</f>
        <v>166.46</v>
      </c>
      <c r="E59" s="95">
        <f>'DOE25'!H96</f>
        <v>600.32999999999993</v>
      </c>
      <c r="F59" s="95">
        <f>'DOE25'!I96</f>
        <v>0</v>
      </c>
      <c r="G59" s="95">
        <f>'DOE25'!J96</f>
        <v>13575.99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736867.31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245319.4</v>
      </c>
      <c r="D61" s="95">
        <f>SUM('DOE25'!G98:G110)</f>
        <v>43747.57</v>
      </c>
      <c r="E61" s="95">
        <f>SUM('DOE25'!H98:H110)</f>
        <v>144798.91</v>
      </c>
      <c r="F61" s="95">
        <f>SUM('DOE25'!I98:I110)</f>
        <v>0</v>
      </c>
      <c r="G61" s="95">
        <f>SUM('DOE25'!J98:J110)</f>
        <v>196601.02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422963.61</v>
      </c>
      <c r="D62" s="130">
        <f>SUM(D57:D61)</f>
        <v>780781.34</v>
      </c>
      <c r="E62" s="130">
        <f>SUM(E57:E61)</f>
        <v>145399.24</v>
      </c>
      <c r="F62" s="130">
        <f>SUM(F57:F61)</f>
        <v>0</v>
      </c>
      <c r="G62" s="130">
        <f>SUM(G57:G61)</f>
        <v>210177.00999999998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31916176.609999999</v>
      </c>
      <c r="D63" s="22">
        <f>D56+D62</f>
        <v>780781.34</v>
      </c>
      <c r="E63" s="22">
        <f>E56+E62</f>
        <v>145399.24</v>
      </c>
      <c r="F63" s="22">
        <f>F56+F62</f>
        <v>0</v>
      </c>
      <c r="G63" s="22">
        <f>G56+G62</f>
        <v>210177.00999999998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8410715.6699999999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6124798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6724.67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14542238.34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396597.57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384604.48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138537.17000000001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19316.09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919739.22000000009</v>
      </c>
      <c r="D78" s="130">
        <f>SUM(D72:D77)</f>
        <v>19316.09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15461977.560000001</v>
      </c>
      <c r="D81" s="130">
        <f>SUM(D79:D80)+D78+D70</f>
        <v>19316.09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377532.78</v>
      </c>
      <c r="D88" s="95">
        <f>SUM('DOE25'!G153:G161)</f>
        <v>359167</v>
      </c>
      <c r="E88" s="95">
        <f>SUM('DOE25'!H153:H161)</f>
        <v>1663466.4200000002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377532.78</v>
      </c>
      <c r="D91" s="131">
        <f>SUM(D85:D90)</f>
        <v>359167</v>
      </c>
      <c r="E91" s="131">
        <f>SUM(E85:E90)</f>
        <v>1663466.4200000002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757</v>
      </c>
      <c r="B97" s="32" t="s">
        <v>188</v>
      </c>
      <c r="C97" s="95">
        <f>SUM('DOE25'!F180:F181)</f>
        <v>40220.57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150000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190220.57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764</v>
      </c>
      <c r="C104" s="86">
        <f>C63+C81+C91+C103</f>
        <v>47945907.520000003</v>
      </c>
      <c r="D104" s="86">
        <f>D63+D81+D91+D103</f>
        <v>1159264.43</v>
      </c>
      <c r="E104" s="86">
        <f>E63+E81+E91+E103</f>
        <v>1808865.6600000001</v>
      </c>
      <c r="F104" s="86">
        <f>F63+F81+F91+F103</f>
        <v>0</v>
      </c>
      <c r="G104" s="86">
        <f>G63+G81+G103</f>
        <v>410177.01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17769587.390000001</v>
      </c>
      <c r="D109" s="24" t="s">
        <v>288</v>
      </c>
      <c r="E109" s="95">
        <f>('DOE25'!L276)+('DOE25'!L295)+('DOE25'!L314)</f>
        <v>589221.37000000011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7584684.6600000001</v>
      </c>
      <c r="D110" s="24" t="s">
        <v>288</v>
      </c>
      <c r="E110" s="95">
        <f>('DOE25'!L277)+('DOE25'!L296)+('DOE25'!L315)</f>
        <v>791466.59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1717766.53</v>
      </c>
      <c r="D111" s="24" t="s">
        <v>288</v>
      </c>
      <c r="E111" s="95">
        <f>('DOE25'!L278)+('DOE25'!L297)+('DOE25'!L316)</f>
        <v>212467.83999999997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677523.57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81414.049999999988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27749562.150000002</v>
      </c>
      <c r="D115" s="86">
        <f>SUM(D109:D114)</f>
        <v>0</v>
      </c>
      <c r="E115" s="86">
        <f>SUM(E109:E114)</f>
        <v>1674569.8499999999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4352501.58</v>
      </c>
      <c r="D118" s="24" t="s">
        <v>288</v>
      </c>
      <c r="E118" s="95">
        <f>+('DOE25'!L281)+('DOE25'!L300)+('DOE25'!L319)</f>
        <v>25465.509999999995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1428747.81</v>
      </c>
      <c r="D119" s="24" t="s">
        <v>288</v>
      </c>
      <c r="E119" s="95">
        <f>+('DOE25'!L282)+('DOE25'!L301)+('DOE25'!L320)</f>
        <v>84338.95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898028.84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2829908.01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883405.15999999992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5439708.6199999992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1820437.76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421858.87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1191722.33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18074596.650000002</v>
      </c>
      <c r="D128" s="86">
        <f>SUM(D118:D127)</f>
        <v>1191722.33</v>
      </c>
      <c r="E128" s="86">
        <f>SUM(E118:E127)</f>
        <v>109804.45999999999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678038.05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1079302.82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140019.51999999999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301835.84999999998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108325.69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15.47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-210177.00999999995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26668.12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2124028.5100000007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150000</v>
      </c>
    </row>
    <row r="145" spans="1:9" ht="12.75" thickTop="1" thickBot="1" x14ac:dyDescent="0.25">
      <c r="A145" s="33" t="s">
        <v>244</v>
      </c>
      <c r="C145" s="86">
        <f>(C115+C128+C144)</f>
        <v>47948187.310000002</v>
      </c>
      <c r="D145" s="86">
        <f>(D115+D128+D144)</f>
        <v>1191722.33</v>
      </c>
      <c r="E145" s="86">
        <f>(E115+E128+E144)</f>
        <v>1784374.3099999998</v>
      </c>
      <c r="F145" s="86">
        <f>(F115+F128+F144)</f>
        <v>0</v>
      </c>
      <c r="G145" s="86">
        <f>(G115+G128+G144)</f>
        <v>150000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6/21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8220000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3770000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3770000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795000</v>
      </c>
    </row>
    <row r="159" spans="1:9" x14ac:dyDescent="0.2">
      <c r="A159" s="22" t="s">
        <v>35</v>
      </c>
      <c r="B159" s="137">
        <f>'DOE25'!F498</f>
        <v>2975000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2975000</v>
      </c>
    </row>
    <row r="160" spans="1:9" x14ac:dyDescent="0.2">
      <c r="A160" s="22" t="s">
        <v>36</v>
      </c>
      <c r="B160" s="137">
        <f>'DOE25'!F499</f>
        <v>226203.14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226203.14</v>
      </c>
    </row>
    <row r="161" spans="1:7" x14ac:dyDescent="0.2">
      <c r="A161" s="22" t="s">
        <v>37</v>
      </c>
      <c r="B161" s="137">
        <f>'DOE25'!F500</f>
        <v>3201203.14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3201203.14</v>
      </c>
    </row>
    <row r="162" spans="1:7" x14ac:dyDescent="0.2">
      <c r="A162" s="22" t="s">
        <v>38</v>
      </c>
      <c r="B162" s="137">
        <f>'DOE25'!F501</f>
        <v>775000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775000</v>
      </c>
    </row>
    <row r="163" spans="1:7" x14ac:dyDescent="0.2">
      <c r="A163" s="22" t="s">
        <v>39</v>
      </c>
      <c r="B163" s="137">
        <f>'DOE25'!F502</f>
        <v>93193.76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93193.76</v>
      </c>
    </row>
    <row r="164" spans="1:7" x14ac:dyDescent="0.2">
      <c r="A164" s="22" t="s">
        <v>246</v>
      </c>
      <c r="B164" s="137">
        <f>'DOE25'!F503</f>
        <v>868193.76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868193.76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HUDSON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13517</v>
      </c>
    </row>
    <row r="5" spans="1:4" x14ac:dyDescent="0.2">
      <c r="B5" t="s">
        <v>703</v>
      </c>
      <c r="C5" s="179">
        <f>IF('DOE25'!G665+'DOE25'!G670=0,0,ROUND('DOE25'!G672,0))</f>
        <v>13417</v>
      </c>
    </row>
    <row r="6" spans="1:4" x14ac:dyDescent="0.2">
      <c r="B6" t="s">
        <v>62</v>
      </c>
      <c r="C6" s="179">
        <f>IF('DOE25'!H665+'DOE25'!H670=0,0,ROUND('DOE25'!H672,0))</f>
        <v>12182</v>
      </c>
    </row>
    <row r="7" spans="1:4" x14ac:dyDescent="0.2">
      <c r="B7" t="s">
        <v>704</v>
      </c>
      <c r="C7" s="179">
        <f>IF('DOE25'!I665+'DOE25'!I670=0,0,ROUND('DOE25'!I672,0))</f>
        <v>12998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18358809</v>
      </c>
      <c r="D10" s="182">
        <f>ROUND((C10/$C$28)*100,1)</f>
        <v>38.1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8376151</v>
      </c>
      <c r="D11" s="182">
        <f>ROUND((C11/$C$28)*100,1)</f>
        <v>17.399999999999999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1930234</v>
      </c>
      <c r="D12" s="182">
        <f>ROUND((C12/$C$28)*100,1)</f>
        <v>4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677524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4377967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1513087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1319888</v>
      </c>
      <c r="D17" s="182">
        <f t="shared" si="0"/>
        <v>2.7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2829908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883405</v>
      </c>
      <c r="D19" s="182">
        <f t="shared" si="0"/>
        <v>1.8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5439709</v>
      </c>
      <c r="D20" s="182">
        <f t="shared" si="0"/>
        <v>11.3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1820438</v>
      </c>
      <c r="D21" s="182">
        <f t="shared" si="0"/>
        <v>3.8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81414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140020</v>
      </c>
      <c r="D25" s="182">
        <f t="shared" si="0"/>
        <v>0.3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26668.12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411107.12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48186329.239999995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678038</v>
      </c>
    </row>
    <row r="30" spans="1:4" x14ac:dyDescent="0.2">
      <c r="B30" s="187" t="s">
        <v>728</v>
      </c>
      <c r="C30" s="180">
        <f>SUM(C28:C29)</f>
        <v>48864367.239999995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1079303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31493213</v>
      </c>
      <c r="D35" s="182">
        <f t="shared" ref="D35:D40" si="1">ROUND((C35/$C$41)*100,1)</f>
        <v>62.8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778706.32000000402</v>
      </c>
      <c r="D36" s="182">
        <f t="shared" si="1"/>
        <v>1.6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14535514</v>
      </c>
      <c r="D37" s="182">
        <f t="shared" si="1"/>
        <v>29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945780</v>
      </c>
      <c r="D38" s="182">
        <f t="shared" si="1"/>
        <v>1.9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2400166</v>
      </c>
      <c r="D39" s="182">
        <f t="shared" si="1"/>
        <v>4.8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50153379.320000008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HUDSON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2017-08-31T12:21:07Z</cp:lastPrinted>
  <dcterms:created xsi:type="dcterms:W3CDTF">1997-12-04T19:04:30Z</dcterms:created>
  <dcterms:modified xsi:type="dcterms:W3CDTF">2017-11-29T17:29:22Z</dcterms:modified>
</cp:coreProperties>
</file>