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604" i="1" l="1"/>
  <c r="H604" i="1"/>
  <c r="G472" i="1"/>
  <c r="G468" i="1"/>
  <c r="H472" i="1"/>
  <c r="H468" i="1"/>
  <c r="J360" i="1"/>
  <c r="J358" i="1"/>
  <c r="H102" i="1"/>
  <c r="H48" i="1"/>
  <c r="H22" i="1"/>
  <c r="F50" i="1" l="1"/>
  <c r="F13" i="1"/>
  <c r="F110" i="1"/>
  <c r="F468" i="1"/>
  <c r="C21" i="12" l="1"/>
  <c r="C38" i="12"/>
  <c r="C37" i="12"/>
  <c r="B39" i="12"/>
  <c r="H155" i="1" l="1"/>
  <c r="H154" i="1"/>
  <c r="F101" i="1"/>
  <c r="F579" i="1"/>
  <c r="G439" i="1"/>
  <c r="J468" i="1"/>
  <c r="I12" i="1"/>
  <c r="I9" i="1"/>
  <c r="H24" i="1"/>
  <c r="H13" i="1" l="1"/>
  <c r="H12" i="1"/>
  <c r="F29" i="1"/>
  <c r="F14" i="1"/>
  <c r="F9" i="1"/>
  <c r="G97" i="1"/>
  <c r="G158" i="1"/>
  <c r="K360" i="1"/>
  <c r="K358" i="1"/>
  <c r="H360" i="1"/>
  <c r="H358" i="1"/>
  <c r="H368" i="1"/>
  <c r="F368" i="1"/>
  <c r="J597" i="1"/>
  <c r="H597" i="1"/>
  <c r="J591" i="1"/>
  <c r="H591" i="1"/>
  <c r="H592" i="1"/>
  <c r="H595" i="1"/>
  <c r="I562" i="1" l="1"/>
  <c r="I564" i="1" s="1"/>
  <c r="G562" i="1"/>
  <c r="G564" i="1" s="1"/>
  <c r="F562" i="1"/>
  <c r="F564" i="1" s="1"/>
  <c r="G611" i="1"/>
  <c r="F611" i="1"/>
  <c r="I22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D12" i="13" s="1"/>
  <c r="C12" i="13" s="1"/>
  <c r="G12" i="13"/>
  <c r="L205" i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3" i="10"/>
  <c r="C17" i="10"/>
  <c r="C18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C120" i="2"/>
  <c r="E120" i="2"/>
  <c r="C121" i="2"/>
  <c r="E121" i="2"/>
  <c r="C122" i="2"/>
  <c r="C123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F257" i="1" s="1"/>
  <c r="F271" i="1" s="1"/>
  <c r="G247" i="1"/>
  <c r="H247" i="1"/>
  <c r="I247" i="1"/>
  <c r="J247" i="1"/>
  <c r="J257" i="1" s="1"/>
  <c r="J271" i="1" s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H642" i="1" s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F571" i="1" s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J636" i="1" s="1"/>
  <c r="H637" i="1"/>
  <c r="H638" i="1"/>
  <c r="G639" i="1"/>
  <c r="H639" i="1"/>
  <c r="G641" i="1"/>
  <c r="H641" i="1"/>
  <c r="G643" i="1"/>
  <c r="H643" i="1"/>
  <c r="G644" i="1"/>
  <c r="G645" i="1"/>
  <c r="H645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257" i="1"/>
  <c r="G271" i="1" s="1"/>
  <c r="G164" i="2"/>
  <c r="C18" i="2"/>
  <c r="C26" i="10"/>
  <c r="L351" i="1"/>
  <c r="D62" i="2"/>
  <c r="D63" i="2" s="1"/>
  <c r="D18" i="13"/>
  <c r="C18" i="13" s="1"/>
  <c r="D15" i="13"/>
  <c r="C15" i="13" s="1"/>
  <c r="D18" i="2"/>
  <c r="D17" i="13"/>
  <c r="C17" i="13" s="1"/>
  <c r="D6" i="13"/>
  <c r="C6" i="13" s="1"/>
  <c r="E8" i="13"/>
  <c r="C8" i="13" s="1"/>
  <c r="C91" i="2"/>
  <c r="D31" i="2"/>
  <c r="C78" i="2"/>
  <c r="D50" i="2"/>
  <c r="G157" i="2"/>
  <c r="F18" i="2"/>
  <c r="G161" i="2"/>
  <c r="G156" i="2"/>
  <c r="E103" i="2"/>
  <c r="D91" i="2"/>
  <c r="E62" i="2"/>
  <c r="E63" i="2" s="1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639" i="1"/>
  <c r="J571" i="1"/>
  <c r="K571" i="1"/>
  <c r="L433" i="1"/>
  <c r="L419" i="1"/>
  <c r="D81" i="2"/>
  <c r="I169" i="1"/>
  <c r="H169" i="1"/>
  <c r="G552" i="1"/>
  <c r="J643" i="1"/>
  <c r="G476" i="1"/>
  <c r="H623" i="1" s="1"/>
  <c r="J623" i="1" s="1"/>
  <c r="F169" i="1"/>
  <c r="J140" i="1"/>
  <c r="H257" i="1"/>
  <c r="H271" i="1" s="1"/>
  <c r="K550" i="1"/>
  <c r="G22" i="2"/>
  <c r="K545" i="1"/>
  <c r="J552" i="1"/>
  <c r="C29" i="10"/>
  <c r="H140" i="1"/>
  <c r="L393" i="1"/>
  <c r="A13" i="12"/>
  <c r="F22" i="13"/>
  <c r="H25" i="13"/>
  <c r="C25" i="13" s="1"/>
  <c r="H571" i="1"/>
  <c r="J545" i="1"/>
  <c r="H338" i="1"/>
  <c r="H352" i="1" s="1"/>
  <c r="F338" i="1"/>
  <c r="F352" i="1" s="1"/>
  <c r="G192" i="1"/>
  <c r="H192" i="1"/>
  <c r="F552" i="1"/>
  <c r="C35" i="10"/>
  <c r="L309" i="1"/>
  <c r="E16" i="13"/>
  <c r="C16" i="13" s="1"/>
  <c r="J655" i="1"/>
  <c r="L570" i="1"/>
  <c r="I545" i="1"/>
  <c r="G36" i="2"/>
  <c r="G545" i="1"/>
  <c r="C22" i="13"/>
  <c r="C138" i="2"/>
  <c r="H33" i="13"/>
  <c r="H545" i="1" l="1"/>
  <c r="K549" i="1"/>
  <c r="L534" i="1"/>
  <c r="H661" i="1"/>
  <c r="A40" i="12"/>
  <c r="L328" i="1"/>
  <c r="E128" i="2"/>
  <c r="G338" i="1"/>
  <c r="G352" i="1" s="1"/>
  <c r="J338" i="1"/>
  <c r="J352" i="1" s="1"/>
  <c r="L290" i="1"/>
  <c r="C19" i="10"/>
  <c r="C16" i="10"/>
  <c r="C15" i="10"/>
  <c r="E109" i="2"/>
  <c r="E115" i="2" s="1"/>
  <c r="C10" i="10"/>
  <c r="K551" i="1"/>
  <c r="K552" i="1" s="1"/>
  <c r="I552" i="1"/>
  <c r="L539" i="1"/>
  <c r="J644" i="1"/>
  <c r="C62" i="2"/>
  <c r="C63" i="2" s="1"/>
  <c r="C81" i="2"/>
  <c r="J645" i="1"/>
  <c r="J640" i="1"/>
  <c r="I446" i="1"/>
  <c r="G642" i="1" s="1"/>
  <c r="L401" i="1"/>
  <c r="C139" i="2" s="1"/>
  <c r="J476" i="1"/>
  <c r="H626" i="1" s="1"/>
  <c r="J624" i="1"/>
  <c r="H52" i="1"/>
  <c r="H619" i="1" s="1"/>
  <c r="J619" i="1" s="1"/>
  <c r="J617" i="1"/>
  <c r="D127" i="2"/>
  <c r="D128" i="2" s="1"/>
  <c r="F661" i="1"/>
  <c r="G661" i="1"/>
  <c r="J634" i="1"/>
  <c r="D145" i="2"/>
  <c r="L362" i="1"/>
  <c r="G635" i="1" s="1"/>
  <c r="J635" i="1" s="1"/>
  <c r="K598" i="1"/>
  <c r="G647" i="1" s="1"/>
  <c r="J647" i="1" s="1"/>
  <c r="J649" i="1"/>
  <c r="I257" i="1"/>
  <c r="I271" i="1" s="1"/>
  <c r="D7" i="13"/>
  <c r="C7" i="13" s="1"/>
  <c r="C119" i="2"/>
  <c r="C128" i="2" s="1"/>
  <c r="F476" i="1"/>
  <c r="H622" i="1" s="1"/>
  <c r="J622" i="1" s="1"/>
  <c r="L211" i="1"/>
  <c r="C21" i="10"/>
  <c r="F662" i="1"/>
  <c r="I662" i="1" s="1"/>
  <c r="F660" i="1"/>
  <c r="D5" i="13"/>
  <c r="C5" i="13" s="1"/>
  <c r="E33" i="13"/>
  <c r="D35" i="13" s="1"/>
  <c r="C111" i="2"/>
  <c r="C115" i="2" s="1"/>
  <c r="L247" i="1"/>
  <c r="H660" i="1" s="1"/>
  <c r="I571" i="1"/>
  <c r="L560" i="1"/>
  <c r="L571" i="1" s="1"/>
  <c r="I52" i="1"/>
  <c r="H620" i="1" s="1"/>
  <c r="I476" i="1"/>
  <c r="H625" i="1" s="1"/>
  <c r="J625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J652" i="1"/>
  <c r="J642" i="1"/>
  <c r="G571" i="1"/>
  <c r="I434" i="1"/>
  <c r="G434" i="1"/>
  <c r="I663" i="1"/>
  <c r="L545" i="1" l="1"/>
  <c r="H648" i="1"/>
  <c r="J648" i="1" s="1"/>
  <c r="D31" i="13"/>
  <c r="C31" i="13" s="1"/>
  <c r="C104" i="2"/>
  <c r="G51" i="2"/>
  <c r="L408" i="1"/>
  <c r="G637" i="1" s="1"/>
  <c r="J637" i="1" s="1"/>
  <c r="G664" i="1"/>
  <c r="G672" i="1" s="1"/>
  <c r="C5" i="10" s="1"/>
  <c r="C27" i="10"/>
  <c r="C28" i="10" s="1"/>
  <c r="D22" i="10" s="1"/>
  <c r="F664" i="1"/>
  <c r="F672" i="1" s="1"/>
  <c r="C4" i="10" s="1"/>
  <c r="I661" i="1"/>
  <c r="G667" i="1"/>
  <c r="L257" i="1"/>
  <c r="L271" i="1" s="1"/>
  <c r="G632" i="1" s="1"/>
  <c r="J632" i="1" s="1"/>
  <c r="C145" i="2"/>
  <c r="H664" i="1"/>
  <c r="H667" i="1" s="1"/>
  <c r="I660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15" i="10" l="1"/>
  <c r="D20" i="10"/>
  <c r="D23" i="10"/>
  <c r="H646" i="1"/>
  <c r="J646" i="1" s="1"/>
  <c r="F667" i="1"/>
  <c r="D17" i="10"/>
  <c r="D10" i="10"/>
  <c r="D12" i="10"/>
  <c r="D18" i="10"/>
  <c r="C30" i="10"/>
  <c r="D19" i="10"/>
  <c r="D27" i="10"/>
  <c r="D26" i="10"/>
  <c r="D25" i="10"/>
  <c r="D24" i="10"/>
  <c r="D16" i="10"/>
  <c r="I664" i="1"/>
  <c r="I672" i="1" s="1"/>
  <c r="C7" i="10" s="1"/>
  <c r="D13" i="10"/>
  <c r="D11" i="10"/>
  <c r="D21" i="10"/>
  <c r="H672" i="1"/>
  <c r="C6" i="10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<sst xmlns="http://schemas.openxmlformats.org/spreadsheetml/2006/main" count="3958" uniqueCount="914">
  <si>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</si>
  <si>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</si>
  <si>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</si>
  <si>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</si>
  <si>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</si>
  <si>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</si>
  <si>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</si>
  <si>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</si>
  <si>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</si>
  <si>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</si>
  <si>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</si>
  <si>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</si>
  <si>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</si>
  <si>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</si>
  <si>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</si>
  <si>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</si>
  <si>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</si>
  <si>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</si>
  <si>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</si>
  <si>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</si>
  <si>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</si>
  <si>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</si>
  <si>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</si>
  <si>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</si>
  <si>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</si>
  <si>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</si>
  <si>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</si>
  <si>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</si>
  <si>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</si>
  <si>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</si>
  <si>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</si>
  <si>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</si>
  <si>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</si>
  <si>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</si>
  <si>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</si>
  <si>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</si>
  <si>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</si>
  <si>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</si>
  <si>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</si>
  <si>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</si>
  <si>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</si>
  <si>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</si>
  <si>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</si>
  <si>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</si>
  <si>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</si>
  <si>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</si>
  <si>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</si>
  <si>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</si>
  <si>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</si>
  <si>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</si>
  <si>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</si>
  <si>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</si>
  <si>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</si>
  <si>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</si>
  <si>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</si>
  <si>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</si>
  <si>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</si>
  <si>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</si>
  <si>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</si>
  <si>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</si>
  <si>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</si>
  <si>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</si>
  <si>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</si>
  <si>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</si>
  <si>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</si>
  <si>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</si>
  <si>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</si>
  <si>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</si>
  <si>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</si>
  <si>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</si>
  <si>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</si>
  <si>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</si>
  <si>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</si>
  <si>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</si>
  <si>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</si>
  <si>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</si>
  <si>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</si>
  <si>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</si>
  <si>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</si>
  <si>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</si>
  <si>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</si>
  <si>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</si>
  <si>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</si>
  <si>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</si>
  <si>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</si>
  <si>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</si>
  <si>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</si>
  <si>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</si>
  <si>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</si>
  <si>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</si>
  <si>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</si>
  <si>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</si>
  <si>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</si>
  <si>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</si>
  <si>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</si>
  <si>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</si>
  <si>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</si>
  <si>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</si>
  <si>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</si>
  <si>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</si>
  <si>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</si>
  <si>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</si>
  <si>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</si>
  <si>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</si>
  <si>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</si>
  <si>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</si>
  <si>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</si>
  <si>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</si>
  <si>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</si>
  <si>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</si>
  <si>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</si>
  <si>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</si>
  <si>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</si>
  <si>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</si>
  <si>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</si>
  <si>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</si>
  <si>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</si>
  <si>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</si>
  <si>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</si>
  <si>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</si>
  <si>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</si>
  <si>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</si>
  <si>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</si>
  <si>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</si>
  <si>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</si>
  <si>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</si>
  <si>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</si>
  <si>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</si>
  <si>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</si>
  <si>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</si>
  <si>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</si>
  <si>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</si>
  <si>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</si>
  <si>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</si>
  <si>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</si>
  <si>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</si>
  <si>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</si>
  <si>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</si>
  <si>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</si>
  <si>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</si>
  <si>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</si>
  <si>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</si>
  <si>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</si>
  <si>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</si>
  <si>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</si>
  <si>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</si>
  <si>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</si>
  <si>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</si>
  <si>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</si>
  <si>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</si>
  <si>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</si>
  <si>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</si>
  <si>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</si>
  <si>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</si>
  <si>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</si>
  <si>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</si>
  <si>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</si>
  <si>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</si>
  <si>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</si>
  <si>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</si>
  <si>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</si>
  <si>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</si>
  <si>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</si>
  <si>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</si>
  <si>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</si>
  <si>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</si>
  <si>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</si>
  <si>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</si>
  <si>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</si>
  <si>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</si>
  <si>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</si>
  <si>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</si>
  <si>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</si>
  <si>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</si>
  <si>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</si>
  <si>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</si>
  <si>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</si>
  <si>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</si>
  <si>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</si>
  <si>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</si>
  <si>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</si>
  <si>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</si>
  <si>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</si>
  <si>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</si>
  <si>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</si>
  <si>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</si>
  <si>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</si>
  <si>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</si>
  <si>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</si>
  <si>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</si>
  <si>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</si>
  <si>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</si>
  <si>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</si>
  <si>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</si>
  <si>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</si>
  <si>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</si>
  <si>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</si>
  <si>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</si>
  <si>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</si>
  <si>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</si>
  <si>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</si>
  <si>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</si>
  <si>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</si>
  <si>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</si>
  <si>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</si>
  <si>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</si>
  <si>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</si>
  <si>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</si>
  <si>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</si>
  <si>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</si>
  <si>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</si>
  <si>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</si>
  <si>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</si>
  <si>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</si>
  <si>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</si>
  <si>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</si>
  <si>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</si>
  <si>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</si>
  <si>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</si>
  <si>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</si>
  <si>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</si>
  <si>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</si>
  <si>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</si>
  <si>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</si>
  <si>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</si>
  <si>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</si>
  <si>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</si>
  <si>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</si>
  <si>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</si>
  <si>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</si>
  <si>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</si>
  <si>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</si>
  <si>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</si>
  <si>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</si>
  <si>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</si>
  <si>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</si>
  <si>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</si>
  <si>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</si>
  <si>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</si>
  <si>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</si>
  <si>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</si>
  <si>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</si>
  <si>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</si>
  <si>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</si>
  <si>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</si>
  <si>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</si>
  <si>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</si>
  <si>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</si>
  <si>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</si>
  <si>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</si>
  <si>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</si>
  <si>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</si>
  <si>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</si>
  <si>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</si>
  <si>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</si>
  <si>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</si>
  <si>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</si>
  <si>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</si>
  <si>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</si>
  <si>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</si>
  <si>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</si>
  <si>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</si>
  <si>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</si>
  <si>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</si>
  <si>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</si>
  <si>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</si>
  <si>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</si>
  <si>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</si>
  <si>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</si>
  <si>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</si>
  <si>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</si>
  <si>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</si>
  <si>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</si>
  <si>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</si>
  <si>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</si>
  <si>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</si>
  <si>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</si>
  <si>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</si>
  <si>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</si>
  <si>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</si>
  <si>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</si>
  <si>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</si>
  <si>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</si>
  <si>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</si>
  <si>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</si>
  <si>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</si>
  <si>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</si>
  <si>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</si>
  <si>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</si>
  <si>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</si>
  <si>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</si>
  <si>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</si>
  <si>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</si>
  <si>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</si>
  <si>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</si>
  <si>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</si>
  <si>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</si>
  <si>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</si>
  <si>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</si>
  <si>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</si>
  <si>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</si>
  <si>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</si>
  <si>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</si>
  <si>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</si>
  <si>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</si>
  <si>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</si>
  <si>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</si>
  <si>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</si>
  <si>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</si>
  <si>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</si>
  <si>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</si>
  <si>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</si>
  <si>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</si>
  <si>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</si>
  <si>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</si>
  <si>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</si>
  <si>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</si>
  <si>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</si>
  <si>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</si>
  <si>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</si>
  <si>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</si>
  <si>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</si>
  <si>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</si>
  <si>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</si>
  <si>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</si>
  <si>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</si>
  <si>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</si>
  <si>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</si>
  <si>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</si>
  <si>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</si>
  <si>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</si>
  <si>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</si>
  <si>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</si>
  <si>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</si>
  <si>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</si>
  <si>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</si>
  <si>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</si>
  <si>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</si>
  <si>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</si>
  <si>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</si>
  <si>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</si>
  <si>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</si>
  <si>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</si>
  <si>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</si>
  <si>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</si>
  <si>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</si>
  <si>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</si>
  <si>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</si>
  <si>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</si>
  <si>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</si>
  <si>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</si>
  <si>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</si>
  <si>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</si>
  <si>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</si>
  <si>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</si>
  <si>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</si>
  <si>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</si>
  <si>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</si>
  <si>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</si>
  <si>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</si>
  <si>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</si>
  <si>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</si>
  <si>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</si>
  <si>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</si>
  <si>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</si>
  <si>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</si>
  <si>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</si>
  <si>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</si>
  <si>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</si>
  <si>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</si>
  <si>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</si>
  <si>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</si>
  <si>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</si>
  <si>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</si>
  <si>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</si>
  <si>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</si>
  <si>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</si>
  <si>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</si>
  <si>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</si>
  <si>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</si>
  <si>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</si>
  <si>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</si>
  <si>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</si>
  <si>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</si>
  <si>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</si>
  <si>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</si>
  <si>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</si>
  <si>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</si>
  <si>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</si>
  <si>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</si>
  <si>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</si>
  <si>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</si>
  <si>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</si>
  <si>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</si>
  <si>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</si>
  <si>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</si>
  <si>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</si>
  <si>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</si>
  <si>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</si>
  <si>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</si>
  <si>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</si>
  <si>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</si>
  <si>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</si>
  <si>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</si>
  <si>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</si>
  <si>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</si>
  <si>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</si>
  <si>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</si>
  <si>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</si>
  <si>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</si>
  <si>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</si>
  <si>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</si>
  <si>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</si>
  <si>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</si>
  <si>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</si>
  <si>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</si>
  <si>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</si>
  <si>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</si>
  <si>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</si>
  <si>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</si>
  <si>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</si>
  <si>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</si>
  <si>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</si>
  <si>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</si>
  <si>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</si>
  <si>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</si>
  <si>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</si>
  <si>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</si>
  <si>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</si>
  <si>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</si>
  <si>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</si>
  <si>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</si>
  <si>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</si>
  <si>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</si>
  <si>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</si>
  <si>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</si>
  <si>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</si>
  <si>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</si>
  <si>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</si>
  <si>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</si>
  <si>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</si>
  <si>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</si>
  <si>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</si>
  <si>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</si>
  <si>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</si>
  <si>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</si>
  <si>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</si>
  <si>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</si>
  <si>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</si>
  <si>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</si>
  <si>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</si>
  <si>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</si>
  <si>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</si>
  <si>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</si>
  <si>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</si>
  <si>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</si>
  <si>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</si>
  <si>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</si>
  <si>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</si>
  <si>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</si>
  <si>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</si>
  <si>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</si>
  <si>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</si>
  <si>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</si>
  <si>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</si>
  <si>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</si>
  <si>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</si>
  <si>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</si>
  <si>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</si>
  <si>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</si>
  <si>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</si>
  <si>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</si>
  <si>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</si>
  <si>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</si>
  <si>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</si>
  <si>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</si>
  <si>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</si>
  <si>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</si>
  <si>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</si>
  <si>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</si>
  <si>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</si>
  <si>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</si>
  <si>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</si>
  <si>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</si>
  <si>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</si>
  <si>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</si>
  <si>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</si>
  <si>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</si>
  <si>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</si>
  <si>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</si>
  <si>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</si>
  <si>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</si>
  <si>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</si>
  <si>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</si>
  <si>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</si>
  <si>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</si>
  <si>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</si>
  <si>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</si>
  <si>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</si>
  <si>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</si>
  <si>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</si>
  <si>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</si>
  <si>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</si>
  <si>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</si>
  <si>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</si>
  <si>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</si>
  <si>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</si>
  <si>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</si>
  <si>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</si>
  <si>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</si>
  <si>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</si>
  <si>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</si>
  <si>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</si>
  <si>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</si>
  <si>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</si>
  <si>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</si>
  <si>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</si>
  <si>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</si>
  <si>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</si>
  <si>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</si>
  <si>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</si>
  <si>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</si>
  <si>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</si>
  <si>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</si>
  <si>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</si>
  <si>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</si>
  <si>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</si>
  <si>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</si>
  <si>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</si>
  <si>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</si>
  <si>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</si>
  <si>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</si>
  <si>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</si>
  <si>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</si>
  <si>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</si>
  <si>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</si>
  <si>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</si>
  <si>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</si>
  <si>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</si>
  <si>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</si>
  <si>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</si>
  <si>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</si>
  <si>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</si>
  <si>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</si>
  <si>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</si>
  <si>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</si>
  <si>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</si>
  <si>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</si>
  <si>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</si>
  <si>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</si>
  <si>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</si>
  <si>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</si>
  <si>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</si>
  <si>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</si>
  <si>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</si>
  <si>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</si>
  <si>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</si>
  <si>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</si>
  <si>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</si>
  <si>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</si>
  <si>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</si>
  <si>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</si>
  <si>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</si>
  <si>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</si>
  <si>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</si>
  <si>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</si>
  <si>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</si>
  <si>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</si>
  <si>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</si>
  <si>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</si>
  <si>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</si>
  <si>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</si>
  <si>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</si>
  <si>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</si>
  <si>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</si>
  <si>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</si>
  <si>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</si>
  <si>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</si>
  <si>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</si>
  <si>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</si>
  <si>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</si>
  <si>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</si>
  <si>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</si>
  <si>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</si>
  <si>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</si>
  <si>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</si>
  <si>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</si>
  <si>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</si>
  <si>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</si>
  <si>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</si>
  <si>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</si>
  <si>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</si>
  <si>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</si>
  <si>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</si>
  <si>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</si>
  <si>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</si>
  <si>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</si>
  <si>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</si>
  <si>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</si>
  <si>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</si>
  <si>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</si>
  <si>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</si>
  <si>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</si>
  <si>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</si>
  <si>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</si>
  <si>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</si>
  <si>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</si>
  <si>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</si>
  <si>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</si>
  <si>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</si>
  <si>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</si>
  <si>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</si>
  <si>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</si>
  <si>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</si>
  <si>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</si>
  <si>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</si>
  <si>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</si>
  <si>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</si>
  <si>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</si>
  <si>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</si>
  <si>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</si>
  <si>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</si>
  <si>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</si>
  <si>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</si>
  <si>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</si>
  <si>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</si>
  <si>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</si>
  <si>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</si>
  <si>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</si>
  <si>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</si>
  <si>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</si>
  <si>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</si>
  <si>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</si>
  <si>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</si>
  <si>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</si>
  <si>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</si>
  <si>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</si>
  <si>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</si>
  <si>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</si>
  <si>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</si>
  <si>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</si>
  <si>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</si>
  <si>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</si>
  <si>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</si>
  <si>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</si>
  <si>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</si>
  <si>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</si>
  <si>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</si>
  <si>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</si>
  <si>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</si>
  <si>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</si>
  <si>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</si>
  <si>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</si>
  <si>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</si>
  <si>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</si>
  <si>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</si>
  <si>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</si>
  <si>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</si>
  <si>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</si>
  <si>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</si>
  <si>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</si>
  <si>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</si>
  <si>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</si>
  <si>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</si>
  <si>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</si>
  <si>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</si>
  <si>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</si>
  <si>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</si>
  <si>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</si>
  <si>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</si>
  <si>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</si>
  <si>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</si>
  <si>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</si>
  <si>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</si>
  <si>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</si>
  <si>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</si>
  <si>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</si>
  <si>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</si>
  <si>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</si>
  <si>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</si>
  <si>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</si>
  <si>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</si>
  <si>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</si>
  <si>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</si>
  <si>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</si>
  <si>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</si>
  <si>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</si>
  <si>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</si>
  <si>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</si>
  <si>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</si>
  <si>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</si>
  <si>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</si>
  <si>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</si>
  <si>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</si>
  <si>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</si>
  <si>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</si>
  <si>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</si>
  <si>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</si>
  <si>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</si>
  <si>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</si>
  <si>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</si>
  <si>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</si>
  <si>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</si>
  <si>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</si>
  <si>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</si>
  <si>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</si>
  <si>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</si>
  <si>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</si>
  <si>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</si>
  <si>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</si>
  <si>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</si>
  <si>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</si>
  <si>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</si>
  <si>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</si>
  <si>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</si>
  <si>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</si>
  <si>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</si>
  <si>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</si>
  <si>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</si>
  <si>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</si>
  <si>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</si>
  <si>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</si>
  <si>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</si>
  <si>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</si>
  <si>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</si>
  <si>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</si>
  <si>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</si>
  <si>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</si>
  <si>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</si>
  <si>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</si>
  <si>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</si>
  <si>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</si>
  <si>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</si>
  <si>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</si>
  <si>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</si>
  <si>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</si>
  <si>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</si>
  <si>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</si>
  <si>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</si>
  <si>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</si>
  <si>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</si>
  <si>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</si>
  <si>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</si>
  <si>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</si>
  <si>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</si>
  <si>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</si>
  <si>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</si>
  <si>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</si>
  <si>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</si>
  <si>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</si>
  <si>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</si>
  <si>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</si>
  <si>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</si>
  <si>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</si>
  <si>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</si>
  <si>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</si>
  <si>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</si>
  <si>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</si>
  <si>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</si>
  <si>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</si>
  <si>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</si>
  <si>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</si>
  <si>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</si>
  <si>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</si>
  <si>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</si>
  <si>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</si>
  <si>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</si>
  <si>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</si>
  <si>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</si>
  <si>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</si>
  <si>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</si>
  <si>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</si>
  <si>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</si>
  <si>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</si>
  <si>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</si>
  <si>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</si>
  <si>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</si>
  <si>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</si>
  <si>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</si>
  <si>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</si>
  <si>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</si>
  <si>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</si>
  <si>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</si>
  <si>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</si>
  <si>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</si>
  <si>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</si>
  <si>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</si>
  <si>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</si>
  <si>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</si>
  <si>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</si>
  <si>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</si>
  <si>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</si>
  <si>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</si>
  <si>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</si>
  <si>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</si>
  <si>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</si>
  <si>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</si>
  <si>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</si>
  <si>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</si>
  <si>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</si>
  <si>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</si>
  <si>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</si>
  <si>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</si>
  <si>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</si>
  <si>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</si>
  <si>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</si>
  <si>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</si>
  <si>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</si>
  <si>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</si>
  <si>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</si>
  <si>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</si>
  <si>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</si>
  <si>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</si>
  <si>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</si>
  <si>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</si>
  <si>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</si>
  <si>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</si>
  <si>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</si>
  <si>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</si>
  <si>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</si>
  <si>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</si>
  <si>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</si>
  <si>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</si>
  <si>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</si>
  <si>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</si>
  <si>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</si>
  <si>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</si>
  <si>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</si>
  <si>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</si>
  <si>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</si>
  <si>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</si>
  <si>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</si>
  <si>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</si>
  <si>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</si>
  <si>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</si>
  <si>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</si>
  <si>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</si>
  <si>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</si>
  <si>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</si>
  <si>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</si>
  <si>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</si>
  <si>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</si>
  <si>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</si>
  <si>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</si>
  <si>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</si>
  <si>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</si>
  <si>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</si>
  <si>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</si>
  <si>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</si>
  <si>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</si>
  <si>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</si>
  <si>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</si>
  <si>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</si>
  <si>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</si>
  <si>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</si>
  <si>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</si>
  <si>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</si>
  <si>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</si>
  <si>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</si>
  <si>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</si>
  <si>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</si>
  <si>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</si>
  <si>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</si>
  <si>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</si>
  <si>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</si>
  <si>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</si>
  <si>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</si>
  <si>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</si>
  <si>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</si>
  <si>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</si>
  <si>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</si>
  <si>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</si>
  <si>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</si>
  <si>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</si>
  <si>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</si>
  <si>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</si>
  <si>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</si>
  <si>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</si>
  <si>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</si>
  <si>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</si>
  <si>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</si>
  <si>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</si>
  <si>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</si>
  <si>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</si>
  <si>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</si>
  <si>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</si>
  <si>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</si>
  <si>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</si>
  <si>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</si>
  <si>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</si>
  <si>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</si>
  <si>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</si>
  <si>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</si>
  <si>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</si>
  <si>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</si>
  <si>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</si>
  <si>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</si>
  <si>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</si>
  <si>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</si>
  <si>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</si>
  <si>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</si>
  <si>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</si>
  <si>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</si>
  <si>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</si>
  <si>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</si>
  <si>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</si>
  <si>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</si>
  <si>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</si>
  <si>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</si>
  <si>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</si>
  <si>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</si>
  <si>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</si>
  <si>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INTER-LAKES SCHOOL DISTRICT</t>
  </si>
  <si>
    <t>Retiree Insurance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</si>
</sst>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0" fontId="38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269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432719.86+2800</f>
        <v>435519.86</v>
      </c>
      <c r="G9" s="18"/>
      <c r="H9" s="18"/>
      <c r="I9" s="18">
        <f>3231.11</f>
        <v>3231.11</v>
      </c>
      <c r="J9" s="67">
        <f>SUM(I439)</f>
        <v>737830.98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9345550.3300000001</v>
      </c>
      <c r="G12" s="18">
        <v>4094846.81</v>
      </c>
      <c r="H12" s="18">
        <f>3170176.21+376679.26+167707.73+408822.93</f>
        <v>4123386.13</v>
      </c>
      <c r="I12" s="18">
        <f>22.38+334948</f>
        <v>334970.38</v>
      </c>
      <c r="J12" s="67">
        <f>SUM(I441)</f>
        <v>25000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f>336926.81+208.64</f>
        <v>337135.45</v>
      </c>
      <c r="G13" s="18">
        <v>55489.77</v>
      </c>
      <c r="H13" s="18">
        <f>46709.86+1570</f>
        <v>48279.86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f>244.57+542.55</f>
        <v>787.11999999999989</v>
      </c>
      <c r="G14" s="18">
        <v>-4010.41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537179.80000000005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10656172.559999999</v>
      </c>
      <c r="G19" s="41">
        <f>SUM(G9:G18)</f>
        <v>4146326.17</v>
      </c>
      <c r="H19" s="41">
        <f>SUM(H9:H18)</f>
        <v>4171665.9899999998</v>
      </c>
      <c r="I19" s="41">
        <f>SUM(I9:I18)</f>
        <v>338201.49</v>
      </c>
      <c r="J19" s="41">
        <f>SUM(J9:J18)</f>
        <v>762830.98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9292959.0899999999</v>
      </c>
      <c r="G22" s="18">
        <v>4113936.89</v>
      </c>
      <c r="H22" s="18">
        <f>3214414.93+376024.29+139165.66+374137.67</f>
        <v>4103742.5500000003</v>
      </c>
      <c r="I22" s="18">
        <f>22.38+340124.68</f>
        <v>340147.06</v>
      </c>
      <c r="J22" s="67">
        <f>SUM(I448)</f>
        <v>25000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>
        <v>160.4</v>
      </c>
      <c r="H23" s="18"/>
      <c r="I23" s="18"/>
      <c r="J23" s="67">
        <f>SUM(I449)</f>
        <v>250000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410570.2</v>
      </c>
      <c r="G24" s="18">
        <v>319.35000000000002</v>
      </c>
      <c r="H24" s="18">
        <f>2418.15+1592.82</f>
        <v>4010.9700000000003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351.07+10414.93</f>
        <v>10766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654.97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9714295.2899999991</v>
      </c>
      <c r="G32" s="41">
        <f>SUM(G22:G31)</f>
        <v>4114416.64</v>
      </c>
      <c r="H32" s="41">
        <f>SUM(H22:H31)</f>
        <v>4108408.4900000007</v>
      </c>
      <c r="I32" s="41">
        <f>SUM(I22:I31)</f>
        <v>340147.06</v>
      </c>
      <c r="J32" s="41">
        <f>SUM(J22:J31)</f>
        <v>275000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31909.53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f>63805.5-548</f>
        <v>63257.5</v>
      </c>
      <c r="I48" s="18">
        <v>-1945.570000000298</v>
      </c>
      <c r="J48" s="13">
        <f>SUM(I459)</f>
        <v>487830.98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276946.90999999997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564721.72+208.64</f>
        <v>564930.36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941877.27</v>
      </c>
      <c r="G51" s="41">
        <f>SUM(G35:G50)</f>
        <v>31909.53</v>
      </c>
      <c r="H51" s="41">
        <f>SUM(H35:H50)</f>
        <v>63257.5</v>
      </c>
      <c r="I51" s="41">
        <f>SUM(I35:I50)</f>
        <v>-1945.570000000298</v>
      </c>
      <c r="J51" s="41">
        <f>SUM(J35:J50)</f>
        <v>487830.98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10656172.559999999</v>
      </c>
      <c r="G52" s="41">
        <f>G51+G32</f>
        <v>4146326.17</v>
      </c>
      <c r="H52" s="41">
        <f>H51+H32</f>
        <v>4171665.9900000007</v>
      </c>
      <c r="I52" s="41">
        <f>I51+I32</f>
        <v>338201.4899999997</v>
      </c>
      <c r="J52" s="41">
        <f>J51+J32</f>
        <v>762830.98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16116444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16116444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53946.65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53946.65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2236.7600000000002</v>
      </c>
      <c r="G96" s="18"/>
      <c r="H96" s="18"/>
      <c r="I96" s="18">
        <v>60.33</v>
      </c>
      <c r="J96" s="18">
        <v>5208.25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198472.03+12362.12+407</f>
        <v>211241.15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1747.1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f>13540.65+20100</f>
        <v>33640.65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f>38585.55-1500</f>
        <v>37085.550000000003</v>
      </c>
      <c r="I102" s="18">
        <v>30000</v>
      </c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1001</v>
      </c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5945.22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5864.69+208.64</f>
        <v>6073.33</v>
      </c>
      <c r="G110" s="18"/>
      <c r="H110" s="18">
        <v>75302.47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50644.060000000005</v>
      </c>
      <c r="G111" s="41">
        <f>SUM(G96:G110)</f>
        <v>211241.15</v>
      </c>
      <c r="H111" s="41">
        <f>SUM(H96:H110)</f>
        <v>112388.02</v>
      </c>
      <c r="I111" s="41">
        <f>SUM(I96:I110)</f>
        <v>30060.33</v>
      </c>
      <c r="J111" s="41">
        <f>SUM(J96:J110)</f>
        <v>5208.25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16221034.710000001</v>
      </c>
      <c r="G112" s="41">
        <f>G60+G111</f>
        <v>211241.15</v>
      </c>
      <c r="H112" s="41">
        <f>H60+H79+H94+H111</f>
        <v>112388.02</v>
      </c>
      <c r="I112" s="41">
        <f>I60+I111</f>
        <v>30060.33</v>
      </c>
      <c r="J112" s="41">
        <f>J60+J111</f>
        <v>5208.25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227070.67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6143220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6370290.6699999999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77949.47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25933.29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14226.4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6044.09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>
        <v>270925</v>
      </c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118109.16</v>
      </c>
      <c r="G136" s="41">
        <f>SUM(G123:G135)</f>
        <v>6044.09</v>
      </c>
      <c r="H136" s="41">
        <f>SUM(H123:H135)</f>
        <v>0</v>
      </c>
      <c r="I136" s="41">
        <f>SUM(I123:I135)</f>
        <v>270925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>
        <v>1500</v>
      </c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6488399.8300000001</v>
      </c>
      <c r="G140" s="41">
        <f>G121+SUM(G136:G137)</f>
        <v>7544.09</v>
      </c>
      <c r="H140" s="41">
        <f>H121+SUM(H136:H139)</f>
        <v>0</v>
      </c>
      <c r="I140" s="41">
        <f>I121+I136</f>
        <v>270925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967.83+238025.9</f>
        <v>238993.72999999998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470.58+14097.32+12117.16</f>
        <v>26685.059999999998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187330.75+26205.39</f>
        <v>213536.14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5002.22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156962.51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64629.65</v>
      </c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221592.16</v>
      </c>
      <c r="G162" s="41">
        <f>SUM(G150:G161)</f>
        <v>213536.14</v>
      </c>
      <c r="H162" s="41">
        <f>SUM(H150:H161)</f>
        <v>270681.00999999995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8078.84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229671</v>
      </c>
      <c r="G169" s="41">
        <f>G147+G162+SUM(G163:G168)</f>
        <v>213536.14</v>
      </c>
      <c r="H169" s="41">
        <f>H147+H162+SUM(H163:H168)</f>
        <v>270681.00999999995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>
        <v>64023</v>
      </c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64023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75000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250000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250000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250000</v>
      </c>
      <c r="G192" s="41">
        <f>G183+SUM(G188:G191)</f>
        <v>0</v>
      </c>
      <c r="H192" s="41">
        <f>+H183+SUM(H188:H191)</f>
        <v>0</v>
      </c>
      <c r="I192" s="41">
        <f>I177+I183+SUM(I188:I191)</f>
        <v>64023</v>
      </c>
      <c r="J192" s="41">
        <f>J183</f>
        <v>75000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23189105.539999999</v>
      </c>
      <c r="G193" s="47">
        <f>G112+G140+G169+G192</f>
        <v>432321.38</v>
      </c>
      <c r="H193" s="47">
        <f>H112+H140+H169+H192</f>
        <v>383069.02999999997</v>
      </c>
      <c r="I193" s="47">
        <f>I112+I140+I169+I192</f>
        <v>365008.33</v>
      </c>
      <c r="J193" s="47">
        <f>J112+J140+J192</f>
        <v>80208.25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3968319.8</v>
      </c>
      <c r="G197" s="18">
        <v>1868654.35</v>
      </c>
      <c r="H197" s="18">
        <v>73149.929999999993</v>
      </c>
      <c r="I197" s="18">
        <v>110478.44</v>
      </c>
      <c r="J197" s="18">
        <v>12139.18</v>
      </c>
      <c r="K197" s="18">
        <v>204</v>
      </c>
      <c r="L197" s="19">
        <f>SUM(F197:K197)</f>
        <v>6032945.7000000002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1613926.31</v>
      </c>
      <c r="G198" s="18">
        <v>737548.81</v>
      </c>
      <c r="H198" s="18">
        <v>120438.21</v>
      </c>
      <c r="I198" s="18">
        <v>10789.47</v>
      </c>
      <c r="J198" s="18">
        <v>656.51</v>
      </c>
      <c r="K198" s="18">
        <v>0</v>
      </c>
      <c r="L198" s="19">
        <f>SUM(F198:K198)</f>
        <v>2483359.31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105428</v>
      </c>
      <c r="G200" s="18">
        <v>18978.419999999998</v>
      </c>
      <c r="H200" s="18">
        <v>8243.99</v>
      </c>
      <c r="I200" s="18">
        <v>4431.7</v>
      </c>
      <c r="J200" s="18">
        <v>0</v>
      </c>
      <c r="K200" s="18">
        <v>2730</v>
      </c>
      <c r="L200" s="19">
        <f>SUM(F200:K200)</f>
        <v>139812.11000000002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636296.75</v>
      </c>
      <c r="G202" s="18">
        <v>313986.44</v>
      </c>
      <c r="H202" s="18">
        <v>92790.73</v>
      </c>
      <c r="I202" s="18">
        <v>6233.71</v>
      </c>
      <c r="J202" s="18">
        <v>0</v>
      </c>
      <c r="K202" s="18">
        <v>177.6</v>
      </c>
      <c r="L202" s="19">
        <f t="shared" ref="L202:L208" si="0">SUM(F202:K202)</f>
        <v>1049485.23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379071.48</v>
      </c>
      <c r="G203" s="18">
        <v>195026.42</v>
      </c>
      <c r="H203" s="18">
        <v>125619</v>
      </c>
      <c r="I203" s="18">
        <v>98232.73</v>
      </c>
      <c r="J203" s="18">
        <v>171222.68</v>
      </c>
      <c r="K203" s="18">
        <v>350.35</v>
      </c>
      <c r="L203" s="19">
        <f t="shared" si="0"/>
        <v>969522.66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8052.81</v>
      </c>
      <c r="G204" s="18">
        <v>640.35</v>
      </c>
      <c r="H204" s="18">
        <v>589961.1</v>
      </c>
      <c r="I204" s="18">
        <v>2794.18</v>
      </c>
      <c r="J204" s="18">
        <v>0</v>
      </c>
      <c r="K204" s="18">
        <v>6110.23</v>
      </c>
      <c r="L204" s="19">
        <f t="shared" si="0"/>
        <v>607558.67000000004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566389.28</v>
      </c>
      <c r="G205" s="18">
        <v>297520.02</v>
      </c>
      <c r="H205" s="18">
        <v>34161.949999999997</v>
      </c>
      <c r="I205" s="18">
        <v>3435.43</v>
      </c>
      <c r="J205" s="18">
        <v>450</v>
      </c>
      <c r="K205" s="18">
        <v>225</v>
      </c>
      <c r="L205" s="19">
        <f t="shared" si="0"/>
        <v>902181.68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10920</v>
      </c>
      <c r="G206" s="18">
        <v>868.4</v>
      </c>
      <c r="H206" s="18">
        <v>0</v>
      </c>
      <c r="I206" s="18">
        <v>1832.6</v>
      </c>
      <c r="J206" s="18">
        <v>0</v>
      </c>
      <c r="K206" s="18">
        <v>0</v>
      </c>
      <c r="L206" s="19">
        <f t="shared" si="0"/>
        <v>13621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350150.74</v>
      </c>
      <c r="G207" s="18">
        <v>273485.7</v>
      </c>
      <c r="H207" s="18">
        <v>577918.68000000005</v>
      </c>
      <c r="I207" s="18">
        <v>251093.5</v>
      </c>
      <c r="J207" s="18">
        <v>105655.87</v>
      </c>
      <c r="K207" s="18">
        <v>96.85</v>
      </c>
      <c r="L207" s="19">
        <f t="shared" si="0"/>
        <v>1558401.3400000003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546908.82999999996</v>
      </c>
      <c r="I208" s="18"/>
      <c r="J208" s="18"/>
      <c r="K208" s="18"/>
      <c r="L208" s="19">
        <f t="shared" si="0"/>
        <v>546908.82999999996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>
        <v>568025.03</v>
      </c>
      <c r="H209" s="18"/>
      <c r="I209" s="18"/>
      <c r="J209" s="18"/>
      <c r="K209" s="18"/>
      <c r="L209" s="19">
        <f>SUM(F209:K209)</f>
        <v>568025.03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7638555.1699999999</v>
      </c>
      <c r="G211" s="41">
        <f t="shared" si="1"/>
        <v>4274733.9400000004</v>
      </c>
      <c r="H211" s="41">
        <f t="shared" si="1"/>
        <v>2169192.42</v>
      </c>
      <c r="I211" s="41">
        <f t="shared" si="1"/>
        <v>489321.76</v>
      </c>
      <c r="J211" s="41">
        <f t="shared" si="1"/>
        <v>290124.24</v>
      </c>
      <c r="K211" s="41">
        <f t="shared" si="1"/>
        <v>9894.0300000000007</v>
      </c>
      <c r="L211" s="41">
        <f t="shared" si="1"/>
        <v>14871821.559999999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1838918.47</v>
      </c>
      <c r="G233" s="18">
        <v>853019.17</v>
      </c>
      <c r="H233" s="18">
        <v>7294.03</v>
      </c>
      <c r="I233" s="18">
        <v>72474.89</v>
      </c>
      <c r="J233" s="18">
        <v>14096.92</v>
      </c>
      <c r="K233" s="18">
        <v>0</v>
      </c>
      <c r="L233" s="19">
        <f>SUM(F233:K233)</f>
        <v>2785803.48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548391.66</v>
      </c>
      <c r="G234" s="18">
        <v>196547</v>
      </c>
      <c r="H234" s="18">
        <v>99927.33</v>
      </c>
      <c r="I234" s="18">
        <v>3918.99</v>
      </c>
      <c r="J234" s="18">
        <v>0</v>
      </c>
      <c r="K234" s="18">
        <v>0</v>
      </c>
      <c r="L234" s="19">
        <f>SUM(F234:K234)</f>
        <v>848784.98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111998.74</v>
      </c>
      <c r="I235" s="18"/>
      <c r="J235" s="18"/>
      <c r="K235" s="18"/>
      <c r="L235" s="19">
        <f>SUM(F235:K235)</f>
        <v>111998.74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204452.65</v>
      </c>
      <c r="G236" s="18">
        <v>37476.35</v>
      </c>
      <c r="H236" s="18">
        <v>99825.04</v>
      </c>
      <c r="I236" s="18">
        <v>17973.939999999999</v>
      </c>
      <c r="J236" s="18">
        <v>7013.32</v>
      </c>
      <c r="K236" s="18">
        <v>13295.5</v>
      </c>
      <c r="L236" s="19">
        <f>SUM(F236:K236)</f>
        <v>380036.8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345608.61</v>
      </c>
      <c r="G238" s="18">
        <v>190718.96</v>
      </c>
      <c r="H238" s="18">
        <v>43399.05</v>
      </c>
      <c r="I238" s="18">
        <v>6105.67</v>
      </c>
      <c r="J238" s="18">
        <v>0</v>
      </c>
      <c r="K238" s="18">
        <v>221.4</v>
      </c>
      <c r="L238" s="19">
        <f t="shared" ref="L238:L244" si="4">SUM(F238:K238)</f>
        <v>586053.69000000006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190378.46</v>
      </c>
      <c r="G239" s="18">
        <v>100887.14</v>
      </c>
      <c r="H239" s="18">
        <v>72240.69</v>
      </c>
      <c r="I239" s="18">
        <v>60852.4</v>
      </c>
      <c r="J239" s="18">
        <v>92004.81</v>
      </c>
      <c r="K239" s="18">
        <v>813.65</v>
      </c>
      <c r="L239" s="19">
        <f t="shared" si="4"/>
        <v>517177.15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4336.13</v>
      </c>
      <c r="G240" s="18">
        <v>344.81</v>
      </c>
      <c r="H240" s="18">
        <v>317671.36</v>
      </c>
      <c r="I240" s="18">
        <v>1504.56</v>
      </c>
      <c r="J240" s="18">
        <v>0</v>
      </c>
      <c r="K240" s="18">
        <v>3290.13</v>
      </c>
      <c r="L240" s="19">
        <f t="shared" si="4"/>
        <v>327146.99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306630.90999999997</v>
      </c>
      <c r="G241" s="18">
        <v>151866.53</v>
      </c>
      <c r="H241" s="18">
        <v>34671.69</v>
      </c>
      <c r="I241" s="18">
        <v>4955.8100000000004</v>
      </c>
      <c r="J241" s="18">
        <v>0</v>
      </c>
      <c r="K241" s="18">
        <v>9949</v>
      </c>
      <c r="L241" s="19">
        <f t="shared" si="4"/>
        <v>508073.93999999994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5880</v>
      </c>
      <c r="G242" s="18">
        <v>467.6</v>
      </c>
      <c r="H242" s="18">
        <v>0</v>
      </c>
      <c r="I242" s="18">
        <v>986.78</v>
      </c>
      <c r="J242" s="18">
        <v>0</v>
      </c>
      <c r="K242" s="18">
        <v>0</v>
      </c>
      <c r="L242" s="19">
        <f t="shared" si="4"/>
        <v>7334.38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229314.07</v>
      </c>
      <c r="G243" s="18">
        <v>153790.06</v>
      </c>
      <c r="H243" s="18">
        <v>413156.92</v>
      </c>
      <c r="I243" s="18">
        <v>165165.63</v>
      </c>
      <c r="J243" s="18">
        <v>669620.34</v>
      </c>
      <c r="K243" s="18">
        <v>52.15</v>
      </c>
      <c r="L243" s="19">
        <f t="shared" si="4"/>
        <v>1631099.17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387383.08</v>
      </c>
      <c r="I244" s="18"/>
      <c r="J244" s="18"/>
      <c r="K244" s="18"/>
      <c r="L244" s="19">
        <f t="shared" si="4"/>
        <v>387383.08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>
        <v>305859.63</v>
      </c>
      <c r="H245" s="18"/>
      <c r="I245" s="18"/>
      <c r="J245" s="18"/>
      <c r="K245" s="18"/>
      <c r="L245" s="19">
        <f>SUM(F245:K245)</f>
        <v>305859.63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3673910.9599999995</v>
      </c>
      <c r="G247" s="41">
        <f t="shared" si="5"/>
        <v>1990977.25</v>
      </c>
      <c r="H247" s="41">
        <f t="shared" si="5"/>
        <v>1587567.93</v>
      </c>
      <c r="I247" s="41">
        <f t="shared" si="5"/>
        <v>333938.67000000004</v>
      </c>
      <c r="J247" s="41">
        <f t="shared" si="5"/>
        <v>782735.3899999999</v>
      </c>
      <c r="K247" s="41">
        <f t="shared" si="5"/>
        <v>27621.83</v>
      </c>
      <c r="L247" s="41">
        <f t="shared" si="5"/>
        <v>8396752.0300000012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11312466.129999999</v>
      </c>
      <c r="G257" s="41">
        <f t="shared" si="8"/>
        <v>6265711.1900000004</v>
      </c>
      <c r="H257" s="41">
        <f t="shared" si="8"/>
        <v>3756760.3499999996</v>
      </c>
      <c r="I257" s="41">
        <f t="shared" si="8"/>
        <v>823260.43</v>
      </c>
      <c r="J257" s="41">
        <f t="shared" si="8"/>
        <v>1072859.6299999999</v>
      </c>
      <c r="K257" s="41">
        <f t="shared" si="8"/>
        <v>37515.86</v>
      </c>
      <c r="L257" s="41">
        <f t="shared" si="8"/>
        <v>23268573.59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75000</v>
      </c>
      <c r="L270" s="41">
        <f t="shared" si="9"/>
        <v>75000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11312466.129999999</v>
      </c>
      <c r="G271" s="42">
        <f t="shared" si="11"/>
        <v>6265711.1900000004</v>
      </c>
      <c r="H271" s="42">
        <f t="shared" si="11"/>
        <v>3756760.3499999996</v>
      </c>
      <c r="I271" s="42">
        <f t="shared" si="11"/>
        <v>823260.43</v>
      </c>
      <c r="J271" s="42">
        <f t="shared" si="11"/>
        <v>1072859.6299999999</v>
      </c>
      <c r="K271" s="42">
        <f t="shared" si="11"/>
        <v>112515.86</v>
      </c>
      <c r="L271" s="42">
        <f t="shared" si="11"/>
        <v>23343573.59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97862.862500000003</v>
      </c>
      <c r="G276" s="18">
        <v>42464.942000000003</v>
      </c>
      <c r="H276" s="18">
        <v>12342</v>
      </c>
      <c r="I276" s="18">
        <v>5207.0119999999997</v>
      </c>
      <c r="J276" s="18">
        <v>331.22699999999998</v>
      </c>
      <c r="K276" s="18">
        <v>0</v>
      </c>
      <c r="L276" s="19">
        <f>SUM(F276:K276)</f>
        <v>158208.0435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2262</v>
      </c>
      <c r="G277" s="18">
        <v>536.54900000000009</v>
      </c>
      <c r="H277" s="18">
        <v>0</v>
      </c>
      <c r="I277" s="18">
        <v>263.09399999999999</v>
      </c>
      <c r="J277" s="18">
        <v>0</v>
      </c>
      <c r="K277" s="18">
        <v>0</v>
      </c>
      <c r="L277" s="19">
        <f>SUM(F277:K277)</f>
        <v>3061.643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548.4375</v>
      </c>
      <c r="G281" s="18">
        <v>118.0205</v>
      </c>
      <c r="H281" s="18">
        <v>0</v>
      </c>
      <c r="I281" s="18">
        <v>583.64800000000002</v>
      </c>
      <c r="J281" s="18">
        <v>0</v>
      </c>
      <c r="K281" s="18">
        <v>0</v>
      </c>
      <c r="L281" s="19">
        <f t="shared" ref="L281:L287" si="12">SUM(F281:K281)</f>
        <v>1250.106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9214.5625</v>
      </c>
      <c r="G282" s="18">
        <v>2175.1080000000002</v>
      </c>
      <c r="H282" s="18">
        <v>10620.4735</v>
      </c>
      <c r="I282" s="18">
        <v>100.7565</v>
      </c>
      <c r="J282" s="18">
        <v>34118.532500000001</v>
      </c>
      <c r="K282" s="18">
        <v>0</v>
      </c>
      <c r="L282" s="19">
        <f t="shared" si="12"/>
        <v>56229.433000000005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10336.683500000001</v>
      </c>
      <c r="L283" s="19">
        <f t="shared" si="12"/>
        <v>10336.683500000001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>
        <v>1020</v>
      </c>
      <c r="I286" s="18"/>
      <c r="J286" s="18"/>
      <c r="K286" s="18"/>
      <c r="L286" s="19">
        <f t="shared" si="12"/>
        <v>1020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2164</v>
      </c>
      <c r="I287" s="18"/>
      <c r="J287" s="18"/>
      <c r="K287" s="18"/>
      <c r="L287" s="19">
        <f t="shared" si="12"/>
        <v>2164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109887.8625</v>
      </c>
      <c r="G290" s="42">
        <f t="shared" si="13"/>
        <v>45294.619500000001</v>
      </c>
      <c r="H290" s="42">
        <f t="shared" si="13"/>
        <v>26146.4735</v>
      </c>
      <c r="I290" s="42">
        <f t="shared" si="13"/>
        <v>6154.5105000000003</v>
      </c>
      <c r="J290" s="42">
        <f t="shared" si="13"/>
        <v>34449.7595</v>
      </c>
      <c r="K290" s="42">
        <f t="shared" si="13"/>
        <v>10336.683500000001</v>
      </c>
      <c r="L290" s="41">
        <f t="shared" si="13"/>
        <v>232269.90900000001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52695.387499999997</v>
      </c>
      <c r="G314" s="18">
        <v>22865.737999999998</v>
      </c>
      <c r="H314" s="18">
        <v>0</v>
      </c>
      <c r="I314" s="18">
        <v>3396.2179999999998</v>
      </c>
      <c r="J314" s="18">
        <v>178.35300000000001</v>
      </c>
      <c r="K314" s="18">
        <v>0</v>
      </c>
      <c r="L314" s="19">
        <f>SUM(F314:K314)</f>
        <v>79135.696499999991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1218</v>
      </c>
      <c r="G315" s="18">
        <v>288.91099999999994</v>
      </c>
      <c r="H315" s="18">
        <v>0</v>
      </c>
      <c r="I315" s="18">
        <v>141.666</v>
      </c>
      <c r="J315" s="18">
        <v>0</v>
      </c>
      <c r="K315" s="18">
        <v>0</v>
      </c>
      <c r="L315" s="19">
        <f>SUM(F315:K315)</f>
        <v>1648.577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2790.25</v>
      </c>
      <c r="J317" s="18">
        <v>10595</v>
      </c>
      <c r="K317" s="18">
        <v>0</v>
      </c>
      <c r="L317" s="19">
        <f>SUM(F317:K317)</f>
        <v>13385.25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295.3125</v>
      </c>
      <c r="G319" s="18">
        <v>63.549499999999995</v>
      </c>
      <c r="H319" s="18">
        <v>0</v>
      </c>
      <c r="I319" s="18">
        <v>314.27200000000005</v>
      </c>
      <c r="J319" s="18">
        <v>0</v>
      </c>
      <c r="K319" s="18">
        <v>0</v>
      </c>
      <c r="L319" s="19">
        <f t="shared" ref="L319:L325" si="16">SUM(F319:K319)</f>
        <v>673.13400000000001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4961.6875</v>
      </c>
      <c r="G320" s="18">
        <v>1171.212</v>
      </c>
      <c r="H320" s="18">
        <v>5718.7165000000005</v>
      </c>
      <c r="I320" s="18">
        <v>54.253499999999988</v>
      </c>
      <c r="J320" s="18">
        <v>18371.517500000002</v>
      </c>
      <c r="K320" s="18">
        <v>0</v>
      </c>
      <c r="L320" s="19">
        <f t="shared" si="16"/>
        <v>30277.387000000002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5565.9064999999991</v>
      </c>
      <c r="L321" s="19">
        <f t="shared" si="16"/>
        <v>5565.9064999999991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59170.387499999997</v>
      </c>
      <c r="G328" s="42">
        <f t="shared" si="17"/>
        <v>24389.410499999998</v>
      </c>
      <c r="H328" s="42">
        <f t="shared" si="17"/>
        <v>5718.7165000000005</v>
      </c>
      <c r="I328" s="42">
        <f t="shared" si="17"/>
        <v>6696.6594999999998</v>
      </c>
      <c r="J328" s="42">
        <f t="shared" si="17"/>
        <v>29144.870500000001</v>
      </c>
      <c r="K328" s="42">
        <f t="shared" si="17"/>
        <v>5565.9064999999991</v>
      </c>
      <c r="L328" s="41">
        <f t="shared" si="17"/>
        <v>130685.951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169058.25</v>
      </c>
      <c r="G338" s="41">
        <f t="shared" si="20"/>
        <v>69684.03</v>
      </c>
      <c r="H338" s="41">
        <f t="shared" si="20"/>
        <v>31865.190000000002</v>
      </c>
      <c r="I338" s="41">
        <f t="shared" si="20"/>
        <v>12851.17</v>
      </c>
      <c r="J338" s="41">
        <f t="shared" si="20"/>
        <v>63594.630000000005</v>
      </c>
      <c r="K338" s="41">
        <f t="shared" si="20"/>
        <v>15902.59</v>
      </c>
      <c r="L338" s="41">
        <f t="shared" si="20"/>
        <v>362955.86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169058.25</v>
      </c>
      <c r="G352" s="41">
        <f>G338</f>
        <v>69684.03</v>
      </c>
      <c r="H352" s="41">
        <f>H338</f>
        <v>31865.190000000002</v>
      </c>
      <c r="I352" s="41">
        <f>I338</f>
        <v>12851.17</v>
      </c>
      <c r="J352" s="41">
        <f>J338</f>
        <v>63594.630000000005</v>
      </c>
      <c r="K352" s="47">
        <f>K338+K351</f>
        <v>15902.59</v>
      </c>
      <c r="L352" s="41">
        <f>L338+L351</f>
        <v>362955.86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413788*0.65</f>
        <v>268962.2</v>
      </c>
      <c r="I358" s="18">
        <v>98.8</v>
      </c>
      <c r="J358" s="18">
        <f>(1471.5*0.65)+(952*0.65)</f>
        <v>1575.2750000000001</v>
      </c>
      <c r="K358" s="18">
        <f>400.09*0.65</f>
        <v>260.05849999999998</v>
      </c>
      <c r="L358" s="13">
        <f>SUM(F358:K358)</f>
        <v>270896.33350000001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f>413788-H358</f>
        <v>144825.79999999999</v>
      </c>
      <c r="I360" s="18">
        <v>53.2</v>
      </c>
      <c r="J360" s="18">
        <f>2423.5-J358</f>
        <v>848.22499999999991</v>
      </c>
      <c r="K360" s="18">
        <f>400.09-K358</f>
        <v>140.03149999999999</v>
      </c>
      <c r="L360" s="19">
        <f>SUM(F360:K360)</f>
        <v>145867.25650000002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413788</v>
      </c>
      <c r="I362" s="47">
        <f t="shared" si="22"/>
        <v>152</v>
      </c>
      <c r="J362" s="47">
        <f t="shared" si="22"/>
        <v>2423.5</v>
      </c>
      <c r="K362" s="47">
        <f t="shared" si="22"/>
        <v>400.09</v>
      </c>
      <c r="L362" s="47">
        <f t="shared" si="22"/>
        <v>416763.59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152*0.65</f>
        <v>98.8</v>
      </c>
      <c r="G368" s="63"/>
      <c r="H368" s="63">
        <f>152-F368</f>
        <v>53.2</v>
      </c>
      <c r="I368" s="56">
        <f>SUM(F368:H368)</f>
        <v>152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98.8</v>
      </c>
      <c r="G369" s="47">
        <f>SUM(G367:G368)</f>
        <v>0</v>
      </c>
      <c r="H369" s="47">
        <f>SUM(H367:H368)</f>
        <v>53.2</v>
      </c>
      <c r="I369" s="47">
        <f>SUM(I367:I368)</f>
        <v>152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>
        <v>923912</v>
      </c>
      <c r="K379" s="18"/>
      <c r="L379" s="13">
        <f t="shared" si="23"/>
        <v>923912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923912</v>
      </c>
      <c r="K382" s="47">
        <f t="shared" si="24"/>
        <v>0</v>
      </c>
      <c r="L382" s="47">
        <f t="shared" si="24"/>
        <v>923912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>
        <v>484.48</v>
      </c>
      <c r="I395" s="18"/>
      <c r="J395" s="24" t="s">
        <v>288</v>
      </c>
      <c r="K395" s="24" t="s">
        <v>288</v>
      </c>
      <c r="L395" s="56">
        <f t="shared" ref="L395:L400" si="26">SUM(F395:K395)</f>
        <v>484.48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75000</v>
      </c>
      <c r="H396" s="18">
        <v>2518.39</v>
      </c>
      <c r="I396" s="18"/>
      <c r="J396" s="24" t="s">
        <v>288</v>
      </c>
      <c r="K396" s="24" t="s">
        <v>288</v>
      </c>
      <c r="L396" s="56">
        <f t="shared" si="26"/>
        <v>77518.39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2205.38</v>
      </c>
      <c r="I397" s="18"/>
      <c r="J397" s="24" t="s">
        <v>288</v>
      </c>
      <c r="K397" s="24" t="s">
        <v>288</v>
      </c>
      <c r="L397" s="56">
        <f t="shared" si="26"/>
        <v>2205.38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5208.25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80208.25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5208.25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80208.25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250000</v>
      </c>
      <c r="L422" s="56">
        <f t="shared" si="29"/>
        <v>250000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250000</v>
      </c>
      <c r="L427" s="47">
        <f t="shared" si="30"/>
        <v>250000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250000</v>
      </c>
      <c r="L434" s="47">
        <f t="shared" si="32"/>
        <v>250000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f>71686.62+152838.34+513254.66+51.36</f>
        <v>737830.98</v>
      </c>
      <c r="H439" s="18"/>
      <c r="I439" s="56">
        <f t="shared" ref="I439:I445" si="33">SUM(F439:H439)</f>
        <v>737830.98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v>25000</v>
      </c>
      <c r="H441" s="18"/>
      <c r="I441" s="56">
        <f t="shared" si="33"/>
        <v>25000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762830.98</v>
      </c>
      <c r="H446" s="13">
        <f>SUM(H439:H445)</f>
        <v>0</v>
      </c>
      <c r="I446" s="13">
        <f>SUM(I439:I445)</f>
        <v>762830.98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>
        <v>25000</v>
      </c>
      <c r="H448" s="18"/>
      <c r="I448" s="56">
        <f>SUM(F448:H448)</f>
        <v>25000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>
        <v>250000</v>
      </c>
      <c r="H449" s="18"/>
      <c r="I449" s="56">
        <f>SUM(F449:H449)</f>
        <v>250000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275000</v>
      </c>
      <c r="H452" s="72">
        <f>SUM(H448:H451)</f>
        <v>0</v>
      </c>
      <c r="I452" s="72">
        <f>SUM(I448:I451)</f>
        <v>275000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487830.98</v>
      </c>
      <c r="H459" s="18"/>
      <c r="I459" s="56">
        <f t="shared" si="34"/>
        <v>487830.98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487830.98</v>
      </c>
      <c r="H460" s="83">
        <f>SUM(H454:H459)</f>
        <v>0</v>
      </c>
      <c r="I460" s="83">
        <f>SUM(I454:I459)</f>
        <v>487830.98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762830.98</v>
      </c>
      <c r="H461" s="42">
        <f>H452+H460</f>
        <v>0</v>
      </c>
      <c r="I461" s="42">
        <f>I452+I460</f>
        <v>762830.98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1096345.3200000003</v>
      </c>
      <c r="G465" s="18">
        <v>16351.739999999991</v>
      </c>
      <c r="H465" s="18">
        <v>43144.330000000016</v>
      </c>
      <c r="I465" s="18">
        <v>556958.09999999963</v>
      </c>
      <c r="J465" s="18">
        <v>657622.73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23188896.9+208.64</f>
        <v>23189105.539999999</v>
      </c>
      <c r="G468" s="18">
        <f>430821.38+1500</f>
        <v>432321.38</v>
      </c>
      <c r="H468" s="18">
        <f>270681.01+38585.55+75302.47-1500</f>
        <v>383069.03</v>
      </c>
      <c r="I468" s="18">
        <v>365008.33</v>
      </c>
      <c r="J468" s="18">
        <f>484.48+2205.38+77518+0.39</f>
        <v>80208.25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23189105.539999999</v>
      </c>
      <c r="G470" s="53">
        <f>SUM(G468:G469)</f>
        <v>432321.38</v>
      </c>
      <c r="H470" s="53">
        <f>SUM(H468:H469)</f>
        <v>383069.03</v>
      </c>
      <c r="I470" s="53">
        <f>SUM(I468:I469)</f>
        <v>365008.33</v>
      </c>
      <c r="J470" s="53">
        <f>SUM(J468:J469)</f>
        <v>80208.25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23343573.59</v>
      </c>
      <c r="G472" s="18">
        <f>415811.59+952</f>
        <v>416763.59</v>
      </c>
      <c r="H472" s="18">
        <f>273523.76+31959.13+58424.97-952</f>
        <v>362955.86</v>
      </c>
      <c r="I472" s="18">
        <v>923912</v>
      </c>
      <c r="J472" s="18">
        <v>250000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 t="s">
        <v>286</v>
      </c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23343573.59</v>
      </c>
      <c r="G474" s="53">
        <f>SUM(G472:G473)</f>
        <v>416763.59</v>
      </c>
      <c r="H474" s="53">
        <f>SUM(H472:H473)</f>
        <v>362955.86</v>
      </c>
      <c r="I474" s="53">
        <f>SUM(I472:I473)</f>
        <v>923912</v>
      </c>
      <c r="J474" s="53">
        <f>SUM(J472:J473)</f>
        <v>250000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941877.26999999955</v>
      </c>
      <c r="G476" s="53">
        <f>(G465+G470)- G474</f>
        <v>31909.52999999997</v>
      </c>
      <c r="H476" s="53">
        <f>(H465+H470)- H474</f>
        <v>63257.500000000058</v>
      </c>
      <c r="I476" s="53">
        <f>(I465+I470)- I474</f>
        <v>-1945.570000000298</v>
      </c>
      <c r="J476" s="53">
        <f>(J465+J470)- J474</f>
        <v>487830.98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1616188.3084999998</v>
      </c>
      <c r="G521" s="18">
        <v>738085.36300000013</v>
      </c>
      <c r="H521" s="18">
        <v>120438.21250000001</v>
      </c>
      <c r="I521" s="18">
        <v>11052.559499999999</v>
      </c>
      <c r="J521" s="18">
        <v>656.51</v>
      </c>
      <c r="K521" s="18">
        <v>0</v>
      </c>
      <c r="L521" s="88">
        <f>SUM(F521:K521)</f>
        <v>2486420.9534999998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549609.66149999993</v>
      </c>
      <c r="G523" s="18">
        <v>196835.90700000001</v>
      </c>
      <c r="H523" s="18">
        <v>99927.327499999985</v>
      </c>
      <c r="I523" s="18">
        <v>4060.6604999999995</v>
      </c>
      <c r="J523" s="18">
        <v>0</v>
      </c>
      <c r="K523" s="18">
        <v>0</v>
      </c>
      <c r="L523" s="88">
        <f>SUM(F523:K523)</f>
        <v>850433.55649999995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2165797.9699999997</v>
      </c>
      <c r="G524" s="108">
        <f t="shared" ref="G524:L524" si="36">SUM(G521:G523)</f>
        <v>934921.27000000014</v>
      </c>
      <c r="H524" s="108">
        <f t="shared" si="36"/>
        <v>220365.53999999998</v>
      </c>
      <c r="I524" s="108">
        <f t="shared" si="36"/>
        <v>15113.22</v>
      </c>
      <c r="J524" s="108">
        <f t="shared" si="36"/>
        <v>656.51</v>
      </c>
      <c r="K524" s="108">
        <f t="shared" si="36"/>
        <v>0</v>
      </c>
      <c r="L524" s="89">
        <f t="shared" si="36"/>
        <v>3336854.51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406093.88690000004</v>
      </c>
      <c r="G526" s="18">
        <v>206806.39689999999</v>
      </c>
      <c r="H526" s="18">
        <v>87220.892499999987</v>
      </c>
      <c r="I526" s="18">
        <v>4084.1784000000002</v>
      </c>
      <c r="J526" s="18">
        <v>0</v>
      </c>
      <c r="K526" s="18">
        <v>71.040000000000006</v>
      </c>
      <c r="L526" s="88">
        <f>SUM(F526:K526)</f>
        <v>704276.39470000006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219860.85509999999</v>
      </c>
      <c r="G528" s="18">
        <v>120017.0251</v>
      </c>
      <c r="H528" s="18">
        <v>35775.283499999998</v>
      </c>
      <c r="I528" s="18">
        <v>3093.7016000000003</v>
      </c>
      <c r="J528" s="18">
        <v>0</v>
      </c>
      <c r="K528" s="18">
        <v>88.56</v>
      </c>
      <c r="L528" s="88">
        <f>SUM(F528:K528)</f>
        <v>378835.42530000006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625954.74200000009</v>
      </c>
      <c r="G529" s="89">
        <f t="shared" ref="G529:L529" si="37">SUM(G526:G528)</f>
        <v>326823.42200000002</v>
      </c>
      <c r="H529" s="89">
        <f t="shared" si="37"/>
        <v>122996.17599999998</v>
      </c>
      <c r="I529" s="89">
        <f t="shared" si="37"/>
        <v>7177.880000000001</v>
      </c>
      <c r="J529" s="89">
        <f t="shared" si="37"/>
        <v>0</v>
      </c>
      <c r="K529" s="89">
        <f t="shared" si="37"/>
        <v>159.60000000000002</v>
      </c>
      <c r="L529" s="89">
        <f t="shared" si="37"/>
        <v>1083111.82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74645.655500000008</v>
      </c>
      <c r="I531" s="18"/>
      <c r="J531" s="18"/>
      <c r="K531" s="18"/>
      <c r="L531" s="88">
        <f>SUM(F531:K531)</f>
        <v>74645.655500000008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40193.814499999993</v>
      </c>
      <c r="I533" s="18"/>
      <c r="J533" s="18"/>
      <c r="K533" s="18"/>
      <c r="L533" s="88">
        <f>SUM(F533:K533)</f>
        <v>40193.814499999993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114839.47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114839.47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260.49</v>
      </c>
      <c r="I536" s="18"/>
      <c r="J536" s="18"/>
      <c r="K536" s="18"/>
      <c r="L536" s="88">
        <f>SUM(F536:K536)</f>
        <v>260.49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140.27000000000001</v>
      </c>
      <c r="I538" s="18"/>
      <c r="J538" s="18"/>
      <c r="K538" s="18"/>
      <c r="L538" s="88">
        <f>SUM(F538:K538)</f>
        <v>140.27000000000001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400.76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400.76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63946.35</v>
      </c>
      <c r="I541" s="18"/>
      <c r="J541" s="18"/>
      <c r="K541" s="18"/>
      <c r="L541" s="88">
        <f>SUM(F541:K541)</f>
        <v>63946.35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62904.79</v>
      </c>
      <c r="I543" s="18"/>
      <c r="J543" s="18"/>
      <c r="K543" s="18"/>
      <c r="L543" s="88">
        <f>SUM(F543:K543)</f>
        <v>62904.79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126851.14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126851.14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2791752.7119999998</v>
      </c>
      <c r="G545" s="89">
        <f t="shared" ref="G545:L545" si="41">G524+G529+G534+G539+G544</f>
        <v>1261744.6920000003</v>
      </c>
      <c r="H545" s="89">
        <f t="shared" si="41"/>
        <v>585453.08600000001</v>
      </c>
      <c r="I545" s="89">
        <f t="shared" si="41"/>
        <v>22291.1</v>
      </c>
      <c r="J545" s="89">
        <f t="shared" si="41"/>
        <v>656.51</v>
      </c>
      <c r="K545" s="89">
        <f t="shared" si="41"/>
        <v>159.60000000000002</v>
      </c>
      <c r="L545" s="89">
        <f t="shared" si="41"/>
        <v>4662057.6999999993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2486420.9534999998</v>
      </c>
      <c r="G549" s="87">
        <f>L526</f>
        <v>704276.39470000006</v>
      </c>
      <c r="H549" s="87">
        <f>L531</f>
        <v>74645.655500000008</v>
      </c>
      <c r="I549" s="87">
        <f>L536</f>
        <v>260.49</v>
      </c>
      <c r="J549" s="87">
        <f>L541</f>
        <v>63946.35</v>
      </c>
      <c r="K549" s="87">
        <f>SUM(F549:J549)</f>
        <v>3329549.8437000001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850433.55649999995</v>
      </c>
      <c r="G551" s="87">
        <f>L528</f>
        <v>378835.42530000006</v>
      </c>
      <c r="H551" s="87">
        <f>L533</f>
        <v>40193.814499999993</v>
      </c>
      <c r="I551" s="87">
        <f>L538</f>
        <v>140.27000000000001</v>
      </c>
      <c r="J551" s="87">
        <f>L543</f>
        <v>62904.79</v>
      </c>
      <c r="K551" s="87">
        <f>SUM(F551:J551)</f>
        <v>1332507.8563000001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3336854.51</v>
      </c>
      <c r="G552" s="89">
        <f t="shared" si="42"/>
        <v>1083111.82</v>
      </c>
      <c r="H552" s="89">
        <f t="shared" si="42"/>
        <v>114839.47</v>
      </c>
      <c r="I552" s="89">
        <f t="shared" si="42"/>
        <v>400.76</v>
      </c>
      <c r="J552" s="89">
        <f t="shared" si="42"/>
        <v>126851.14</v>
      </c>
      <c r="K552" s="89">
        <f t="shared" si="42"/>
        <v>4662057.7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f>38632.99*0.65</f>
        <v>25111.443500000001</v>
      </c>
      <c r="G562" s="18">
        <f>(1021.05+195.5+3014.94+6053.78)*0.65</f>
        <v>6685.4255000000003</v>
      </c>
      <c r="H562" s="18"/>
      <c r="I562" s="18">
        <f>1050*0.65</f>
        <v>682.5</v>
      </c>
      <c r="J562" s="18"/>
      <c r="K562" s="18"/>
      <c r="L562" s="88">
        <f>SUM(F562:K562)</f>
        <v>32479.369000000002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f>38632.99-F562</f>
        <v>13521.546499999997</v>
      </c>
      <c r="G564" s="18">
        <f>(1021.05+195.5+3014.94+6053.78)-G562</f>
        <v>3599.8445000000002</v>
      </c>
      <c r="H564" s="18"/>
      <c r="I564" s="18">
        <f>1050-I562</f>
        <v>367.5</v>
      </c>
      <c r="J564" s="18"/>
      <c r="K564" s="18"/>
      <c r="L564" s="88">
        <f>SUM(F564:K564)</f>
        <v>17488.890999999996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38632.99</v>
      </c>
      <c r="G565" s="89">
        <f t="shared" si="44"/>
        <v>10285.27</v>
      </c>
      <c r="H565" s="89">
        <f t="shared" si="44"/>
        <v>0</v>
      </c>
      <c r="I565" s="89">
        <f t="shared" si="44"/>
        <v>1050</v>
      </c>
      <c r="J565" s="89">
        <f t="shared" si="44"/>
        <v>0</v>
      </c>
      <c r="K565" s="89">
        <f t="shared" si="44"/>
        <v>0</v>
      </c>
      <c r="L565" s="89">
        <f t="shared" si="44"/>
        <v>49968.259999999995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38632.99</v>
      </c>
      <c r="G571" s="89">
        <f t="shared" ref="G571:L571" si="46">G560+G565+G570</f>
        <v>10285.27</v>
      </c>
      <c r="H571" s="89">
        <f t="shared" si="46"/>
        <v>0</v>
      </c>
      <c r="I571" s="89">
        <f t="shared" si="46"/>
        <v>1050</v>
      </c>
      <c r="J571" s="89">
        <f t="shared" si="46"/>
        <v>0</v>
      </c>
      <c r="K571" s="89">
        <f t="shared" si="46"/>
        <v>0</v>
      </c>
      <c r="L571" s="89">
        <f t="shared" si="46"/>
        <v>49968.259999999995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f>8697.92</f>
        <v>8697.92</v>
      </c>
      <c r="G579" s="18"/>
      <c r="H579" s="18">
        <v>53315.26</v>
      </c>
      <c r="I579" s="87">
        <f t="shared" si="47"/>
        <v>62013.18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40478.550000000003</v>
      </c>
      <c r="G582" s="18"/>
      <c r="H582" s="18">
        <v>5240.3599999999997</v>
      </c>
      <c r="I582" s="87">
        <f t="shared" si="47"/>
        <v>45718.91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111998.74</v>
      </c>
      <c r="I584" s="87">
        <f t="shared" si="47"/>
        <v>111998.74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652540.23*0.65</f>
        <v>424151.1495</v>
      </c>
      <c r="I591" s="18"/>
      <c r="J591" s="18">
        <f>652540.23-H591</f>
        <v>228389.08049999998</v>
      </c>
      <c r="K591" s="104">
        <f t="shared" ref="K591:K597" si="48">SUM(H591:J591)</f>
        <v>652540.23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43408.64+20537.71</f>
        <v>63946.35</v>
      </c>
      <c r="I592" s="18"/>
      <c r="J592" s="18">
        <v>62904.79</v>
      </c>
      <c r="K592" s="104">
        <f t="shared" si="48"/>
        <v>126851.14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11845.8</v>
      </c>
      <c r="K593" s="104">
        <f t="shared" si="48"/>
        <v>11845.8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>
        <v>66362.7</v>
      </c>
      <c r="K594" s="104">
        <f t="shared" si="48"/>
        <v>66362.7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6085.95+28565.36</f>
        <v>34651.31</v>
      </c>
      <c r="I595" s="18"/>
      <c r="J595" s="18">
        <v>7133.01</v>
      </c>
      <c r="K595" s="104">
        <f t="shared" si="48"/>
        <v>41784.32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f>4200+(30707.72*0.65)</f>
        <v>24160.018</v>
      </c>
      <c r="I597" s="18"/>
      <c r="J597" s="18">
        <f>30707.72*0.35</f>
        <v>10747.701999999999</v>
      </c>
      <c r="K597" s="104">
        <f t="shared" si="48"/>
        <v>34907.72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546908.82750000001</v>
      </c>
      <c r="I598" s="108">
        <f>SUM(I591:I597)</f>
        <v>0</v>
      </c>
      <c r="J598" s="108">
        <f>SUM(J591:J597)</f>
        <v>387383.08249999996</v>
      </c>
      <c r="K598" s="108">
        <f>SUM(K591:K597)</f>
        <v>934291.90999999992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79445.65+10001.64+(361733.4*0.65)</f>
        <v>324574</v>
      </c>
      <c r="I604" s="18"/>
      <c r="J604" s="18">
        <f>685273.57+(361733.4*0.35)</f>
        <v>811880.26</v>
      </c>
      <c r="K604" s="104">
        <f>SUM(H604:J604)</f>
        <v>1136454.26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324574</v>
      </c>
      <c r="I605" s="108">
        <f>SUM(I602:I604)</f>
        <v>0</v>
      </c>
      <c r="J605" s="108">
        <f>SUM(J602:J604)</f>
        <v>811880.26</v>
      </c>
      <c r="K605" s="108">
        <f>SUM(K602:K604)</f>
        <v>1136454.26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f>18400+5680</f>
        <v>24080</v>
      </c>
      <c r="G611" s="18">
        <f>1842.12+795.3+2657.61</f>
        <v>5295.0300000000007</v>
      </c>
      <c r="H611" s="18"/>
      <c r="I611" s="18">
        <v>368.45</v>
      </c>
      <c r="J611" s="18"/>
      <c r="K611" s="18"/>
      <c r="L611" s="88">
        <f>SUM(F611:K611)</f>
        <v>29743.48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24080</v>
      </c>
      <c r="G614" s="108">
        <f t="shared" si="49"/>
        <v>5295.0300000000007</v>
      </c>
      <c r="H614" s="108">
        <f t="shared" si="49"/>
        <v>0</v>
      </c>
      <c r="I614" s="108">
        <f t="shared" si="49"/>
        <v>368.45</v>
      </c>
      <c r="J614" s="108">
        <f t="shared" si="49"/>
        <v>0</v>
      </c>
      <c r="K614" s="108">
        <f t="shared" si="49"/>
        <v>0</v>
      </c>
      <c r="L614" s="89">
        <f t="shared" si="49"/>
        <v>29743.48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10656172.559999999</v>
      </c>
      <c r="H617" s="109">
        <f>SUM(F52)</f>
        <v>10656172.559999999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4146326.17</v>
      </c>
      <c r="H618" s="109">
        <f>SUM(G52)</f>
        <v>4146326.17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4171665.9899999998</v>
      </c>
      <c r="H619" s="109">
        <f>SUM(H52)</f>
        <v>4171665.9900000007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338201.49</v>
      </c>
      <c r="H620" s="109">
        <f>SUM(I52)</f>
        <v>338201.4899999997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762830.98</v>
      </c>
      <c r="H621" s="109">
        <f>SUM(J52)</f>
        <v>762830.98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941877.27</v>
      </c>
      <c r="H622" s="109">
        <f>F476</f>
        <v>941877.26999999955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31909.53</v>
      </c>
      <c r="H623" s="109">
        <f>G476</f>
        <v>31909.52999999997</v>
      </c>
      <c r="I623" s="121" t="s">
        <v>102</v>
      </c>
      <c r="J623" s="109">
        <f t="shared" si="50"/>
        <v>2.9103830456733704E-11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63257.5</v>
      </c>
      <c r="H624" s="109">
        <f>H476</f>
        <v>63257.500000000058</v>
      </c>
      <c r="I624" s="121" t="s">
        <v>103</v>
      </c>
      <c r="J624" s="109">
        <f t="shared" si="50"/>
        <v>-5.8207660913467407E-11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-1945.570000000298</v>
      </c>
      <c r="H625" s="109">
        <f>I476</f>
        <v>-1945.570000000298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487830.98</v>
      </c>
      <c r="H626" s="109">
        <f>J476</f>
        <v>487830.98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23189105.539999999</v>
      </c>
      <c r="H627" s="104">
        <f>SUM(F468)</f>
        <v>23189105.539999999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432321.38</v>
      </c>
      <c r="H628" s="104">
        <f>SUM(G468)</f>
        <v>432321.38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383069.02999999997</v>
      </c>
      <c r="H629" s="104">
        <f>SUM(H468)</f>
        <v>383069.03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365008.33</v>
      </c>
      <c r="H630" s="104">
        <f>SUM(I468)</f>
        <v>365008.33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80208.25</v>
      </c>
      <c r="H631" s="104">
        <f>SUM(J468)</f>
        <v>80208.25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23343573.59</v>
      </c>
      <c r="H632" s="104">
        <f>SUM(F472)</f>
        <v>23343573.59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362955.86</v>
      </c>
      <c r="H633" s="104">
        <f>SUM(H472)</f>
        <v>362955.86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152</v>
      </c>
      <c r="H634" s="104">
        <f>I369</f>
        <v>152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416763.59</v>
      </c>
      <c r="H635" s="104">
        <f>SUM(G472)</f>
        <v>416763.59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923912</v>
      </c>
      <c r="H636" s="104">
        <f>SUM(I472)</f>
        <v>923912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80208.25</v>
      </c>
      <c r="H637" s="164">
        <f>SUM(J468)</f>
        <v>80208.25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250000</v>
      </c>
      <c r="H638" s="164">
        <f>SUM(J472)</f>
        <v>250000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762830.98</v>
      </c>
      <c r="H640" s="104">
        <f>SUM(G461)</f>
        <v>762830.98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762830.98</v>
      </c>
      <c r="H642" s="104">
        <f>SUM(I461)</f>
        <v>762830.98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5208.25</v>
      </c>
      <c r="H644" s="104">
        <f>H408</f>
        <v>5208.25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75000</v>
      </c>
      <c r="H645" s="104">
        <f>G408</f>
        <v>75000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80208.25</v>
      </c>
      <c r="H646" s="104">
        <f>L408</f>
        <v>80208.25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934291.90999999992</v>
      </c>
      <c r="H647" s="104">
        <f>L208+L226+L244</f>
        <v>934291.90999999992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1136454.26</v>
      </c>
      <c r="H648" s="104">
        <f>(J257+J338)-(J255+J336)</f>
        <v>1136454.2599999998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546908.82999999996</v>
      </c>
      <c r="H649" s="104">
        <f>H598</f>
        <v>546908.82750000001</v>
      </c>
      <c r="I649" s="140" t="s">
        <v>388</v>
      </c>
      <c r="J649" s="109">
        <f t="shared" si="50"/>
        <v>2.4999999441206455E-3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387383.08</v>
      </c>
      <c r="H651" s="104">
        <f>J598</f>
        <v>387383.08249999996</v>
      </c>
      <c r="I651" s="140" t="s">
        <v>390</v>
      </c>
      <c r="J651" s="109">
        <f t="shared" si="50"/>
        <v>-2.4999999441206455E-3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75000</v>
      </c>
      <c r="H655" s="104">
        <f>K266+K347</f>
        <v>75000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15374987.802499998</v>
      </c>
      <c r="G660" s="19">
        <f>(L229+L309+L359)</f>
        <v>0</v>
      </c>
      <c r="H660" s="19">
        <f>(L247+L328+L360)</f>
        <v>8673305.2375000007</v>
      </c>
      <c r="I660" s="19">
        <f>SUM(F660:H660)</f>
        <v>24048293.039999999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137306.7475</v>
      </c>
      <c r="G661" s="19">
        <f>(L359/IF(SUM(L358:L360)=0,1,SUM(L358:L360))*(SUM(G97:G110)))</f>
        <v>0</v>
      </c>
      <c r="H661" s="19">
        <f>(L360/IF(SUM(L358:L360)=0,1,SUM(L358:L360))*(SUM(G97:G110)))</f>
        <v>73934.402500000011</v>
      </c>
      <c r="I661" s="19">
        <f>SUM(F661:H661)</f>
        <v>211241.15000000002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549072.82999999996</v>
      </c>
      <c r="G662" s="19">
        <f>(L226+L306)-(J226+J306)</f>
        <v>0</v>
      </c>
      <c r="H662" s="19">
        <f>(L244+L325)-(J244+J325)</f>
        <v>387383.08</v>
      </c>
      <c r="I662" s="19">
        <f>SUM(F662:H662)</f>
        <v>936455.90999999992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403493.94999999995</v>
      </c>
      <c r="G663" s="199">
        <f>SUM(G575:G587)+SUM(I602:I604)+L612</f>
        <v>0</v>
      </c>
      <c r="H663" s="199">
        <f>SUM(H575:H587)+SUM(J602:J604)+L613</f>
        <v>982434.62</v>
      </c>
      <c r="I663" s="19">
        <f>SUM(F663:H663)</f>
        <v>1385928.5699999998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14285114.274999999</v>
      </c>
      <c r="G664" s="19">
        <f>G660-SUM(G661:G663)</f>
        <v>0</v>
      </c>
      <c r="H664" s="19">
        <f>H660-SUM(H661:H663)</f>
        <v>7229553.1350000007</v>
      </c>
      <c r="I664" s="19">
        <f>I660-SUM(I661:I663)</f>
        <v>21514667.41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678.17</v>
      </c>
      <c r="G665" s="248"/>
      <c r="H665" s="248">
        <v>326.82</v>
      </c>
      <c r="I665" s="19">
        <f>SUM(F665:H665)</f>
        <v>1004.99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21064.21</v>
      </c>
      <c r="G667" s="19" t="e">
        <f>ROUND(G664/G665,2)</f>
        <v>#DIV/0!</v>
      </c>
      <c r="H667" s="19">
        <f>ROUND(H664/H665,2)</f>
        <v>22120.9</v>
      </c>
      <c r="I667" s="19">
        <f>ROUND(I664/I665,2)</f>
        <v>21407.84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-12.5</v>
      </c>
      <c r="I670" s="19">
        <f>SUM(F670:H670)</f>
        <v>-12.5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21064.21</v>
      </c>
      <c r="G672" s="19" t="e">
        <f>ROUND((G664+G669)/(G665+G670),2)</f>
        <v>#DIV/0!</v>
      </c>
      <c r="H672" s="19">
        <f>ROUND((H664+H669)/(H665+H670),2)</f>
        <v>23000.61</v>
      </c>
      <c r="I672" s="19">
        <f>ROUND((I664+I669)/(I665+I670),2)</f>
        <v>21677.47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INTER-LAKES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5957796.5199999996</v>
      </c>
      <c r="C9" s="229">
        <f>'DOE25'!G197+'DOE25'!G215+'DOE25'!G233+'DOE25'!G276+'DOE25'!G295+'DOE25'!G314</f>
        <v>2787004.1999999997</v>
      </c>
    </row>
    <row r="10" spans="1:3" x14ac:dyDescent="0.2">
      <c r="A10" t="s">
        <v>778</v>
      </c>
      <c r="B10" s="240">
        <v>5536858.8300000001</v>
      </c>
      <c r="C10" s="240">
        <v>2678054.08</v>
      </c>
    </row>
    <row r="11" spans="1:3" x14ac:dyDescent="0.2">
      <c r="A11" t="s">
        <v>779</v>
      </c>
      <c r="B11" s="240">
        <v>175474.94</v>
      </c>
      <c r="C11" s="240">
        <v>65865.98</v>
      </c>
    </row>
    <row r="12" spans="1:3" x14ac:dyDescent="0.2">
      <c r="A12" t="s">
        <v>780</v>
      </c>
      <c r="B12" s="240">
        <v>245462.75</v>
      </c>
      <c r="C12" s="240">
        <v>43084.14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5957796.5200000005</v>
      </c>
      <c r="C13" s="231">
        <f>SUM(C10:C12)</f>
        <v>2787004.2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2165797.9700000002</v>
      </c>
      <c r="C18" s="229">
        <f>'DOE25'!G198+'DOE25'!G216+'DOE25'!G234+'DOE25'!G277+'DOE25'!G296+'DOE25'!G315</f>
        <v>934921.27</v>
      </c>
    </row>
    <row r="19" spans="1:3" x14ac:dyDescent="0.2">
      <c r="A19" t="s">
        <v>778</v>
      </c>
      <c r="B19" s="240">
        <v>991003.85</v>
      </c>
      <c r="C19" s="240">
        <v>428925.43</v>
      </c>
    </row>
    <row r="20" spans="1:3" x14ac:dyDescent="0.2">
      <c r="A20" t="s">
        <v>779</v>
      </c>
      <c r="B20" s="240">
        <v>1155274.76</v>
      </c>
      <c r="C20" s="240">
        <v>504397.97</v>
      </c>
    </row>
    <row r="21" spans="1:3" x14ac:dyDescent="0.2">
      <c r="A21" t="s">
        <v>780</v>
      </c>
      <c r="B21" s="240">
        <v>19519.36</v>
      </c>
      <c r="C21" s="240">
        <f>1493.23+46.08+58.56</f>
        <v>1597.87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2165797.9699999997</v>
      </c>
      <c r="C22" s="231">
        <f>SUM(C19:C21)</f>
        <v>934921.2699999999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309880.65000000002</v>
      </c>
      <c r="C36" s="235">
        <f>'DOE25'!G200+'DOE25'!G218+'DOE25'!G236+'DOE25'!G279+'DOE25'!G298+'DOE25'!G317</f>
        <v>56454.77</v>
      </c>
    </row>
    <row r="37" spans="1:3" x14ac:dyDescent="0.2">
      <c r="A37" t="s">
        <v>778</v>
      </c>
      <c r="B37" s="240">
        <v>18400</v>
      </c>
      <c r="C37" s="240">
        <f>1407.6+2883.28+55.2</f>
        <v>4346.08</v>
      </c>
    </row>
    <row r="38" spans="1:3" x14ac:dyDescent="0.2">
      <c r="A38" t="s">
        <v>779</v>
      </c>
      <c r="B38" s="240">
        <v>5680</v>
      </c>
      <c r="C38" s="240">
        <f>434.52+634.46+17.04</f>
        <v>1086.02</v>
      </c>
    </row>
    <row r="39" spans="1:3" x14ac:dyDescent="0.2">
      <c r="A39" t="s">
        <v>780</v>
      </c>
      <c r="B39" s="240">
        <f>230326+55474.65</f>
        <v>285800.65000000002</v>
      </c>
      <c r="C39" s="240">
        <v>51022.67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309880.65000000002</v>
      </c>
      <c r="C40" s="231">
        <f>SUM(C37:C39)</f>
        <v>56454.77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INTER-LAKES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12782741.119999999</v>
      </c>
      <c r="D5" s="20">
        <f>SUM('DOE25'!L197:L200)+SUM('DOE25'!L215:L218)+SUM('DOE25'!L233:L236)-F5-G5</f>
        <v>12732605.689999999</v>
      </c>
      <c r="E5" s="243"/>
      <c r="F5" s="255">
        <f>SUM('DOE25'!J197:J200)+SUM('DOE25'!J215:J218)+SUM('DOE25'!J233:J236)</f>
        <v>33905.93</v>
      </c>
      <c r="G5" s="53">
        <f>SUM('DOE25'!K197:K200)+SUM('DOE25'!K215:K218)+SUM('DOE25'!K233:K236)</f>
        <v>16229.5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1635538.92</v>
      </c>
      <c r="D6" s="20">
        <f>'DOE25'!L202+'DOE25'!L220+'DOE25'!L238-F6-G6</f>
        <v>1635139.92</v>
      </c>
      <c r="E6" s="243"/>
      <c r="F6" s="255">
        <f>'DOE25'!J202+'DOE25'!J220+'DOE25'!J238</f>
        <v>0</v>
      </c>
      <c r="G6" s="53">
        <f>'DOE25'!K202+'DOE25'!K220+'DOE25'!K238</f>
        <v>399</v>
      </c>
      <c r="H6" s="259"/>
    </row>
    <row r="7" spans="1:9" x14ac:dyDescent="0.2">
      <c r="A7" s="32">
        <v>2200</v>
      </c>
      <c r="B7" t="s">
        <v>833</v>
      </c>
      <c r="C7" s="245">
        <f t="shared" si="0"/>
        <v>1486699.81</v>
      </c>
      <c r="D7" s="20">
        <f>'DOE25'!L203+'DOE25'!L221+'DOE25'!L239-F7-G7</f>
        <v>1222308.32</v>
      </c>
      <c r="E7" s="243"/>
      <c r="F7" s="255">
        <f>'DOE25'!J203+'DOE25'!J221+'DOE25'!J239</f>
        <v>263227.49</v>
      </c>
      <c r="G7" s="53">
        <f>'DOE25'!K203+'DOE25'!K221+'DOE25'!K239</f>
        <v>1164</v>
      </c>
      <c r="H7" s="259"/>
    </row>
    <row r="8" spans="1:9" x14ac:dyDescent="0.2">
      <c r="A8" s="32">
        <v>2300</v>
      </c>
      <c r="B8" t="s">
        <v>801</v>
      </c>
      <c r="C8" s="245">
        <f t="shared" si="0"/>
        <v>471396.47</v>
      </c>
      <c r="D8" s="243"/>
      <c r="E8" s="20">
        <f>'DOE25'!L204+'DOE25'!L222+'DOE25'!L240-F8-G8-D9-D11</f>
        <v>461996.11</v>
      </c>
      <c r="F8" s="255">
        <f>'DOE25'!J204+'DOE25'!J222+'DOE25'!J240</f>
        <v>0</v>
      </c>
      <c r="G8" s="53">
        <f>'DOE25'!K204+'DOE25'!K222+'DOE25'!K240</f>
        <v>9400.36</v>
      </c>
      <c r="H8" s="259"/>
    </row>
    <row r="9" spans="1:9" x14ac:dyDescent="0.2">
      <c r="A9" s="32">
        <v>2310</v>
      </c>
      <c r="B9" t="s">
        <v>817</v>
      </c>
      <c r="C9" s="245">
        <f t="shared" si="0"/>
        <v>111732.66</v>
      </c>
      <c r="D9" s="244">
        <v>111732.66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20250</v>
      </c>
      <c r="D10" s="243"/>
      <c r="E10" s="244">
        <v>20250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351576.53</v>
      </c>
      <c r="D11" s="244">
        <v>351576.53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1410255.62</v>
      </c>
      <c r="D12" s="20">
        <f>'DOE25'!L205+'DOE25'!L223+'DOE25'!L241-F12-G12</f>
        <v>1399631.62</v>
      </c>
      <c r="E12" s="243"/>
      <c r="F12" s="255">
        <f>'DOE25'!J205+'DOE25'!J223+'DOE25'!J241</f>
        <v>450</v>
      </c>
      <c r="G12" s="53">
        <f>'DOE25'!K205+'DOE25'!K223+'DOE25'!K241</f>
        <v>10174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20955.38</v>
      </c>
      <c r="D13" s="243"/>
      <c r="E13" s="20">
        <f>'DOE25'!L206+'DOE25'!L224+'DOE25'!L242-F13-G13</f>
        <v>20955.38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3189500.5100000002</v>
      </c>
      <c r="D14" s="20">
        <f>'DOE25'!L207+'DOE25'!L225+'DOE25'!L243-F14-G14</f>
        <v>2414075.3000000003</v>
      </c>
      <c r="E14" s="243"/>
      <c r="F14" s="255">
        <f>'DOE25'!J207+'DOE25'!J225+'DOE25'!J243</f>
        <v>775276.21</v>
      </c>
      <c r="G14" s="53">
        <f>'DOE25'!K207+'DOE25'!K225+'DOE25'!K243</f>
        <v>149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934291.90999999992</v>
      </c>
      <c r="D15" s="20">
        <f>'DOE25'!L208+'DOE25'!L226+'DOE25'!L244-F15-G15</f>
        <v>934291.90999999992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873884.66</v>
      </c>
      <c r="D16" s="243"/>
      <c r="E16" s="20">
        <f>'DOE25'!L209+'DOE25'!L227+'DOE25'!L245-F16-G16</f>
        <v>873884.66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416763.59</v>
      </c>
      <c r="D29" s="20">
        <f>'DOE25'!L358+'DOE25'!L359+'DOE25'!L360-'DOE25'!I367-F29-G29</f>
        <v>413940</v>
      </c>
      <c r="E29" s="243"/>
      <c r="F29" s="255">
        <f>'DOE25'!J358+'DOE25'!J359+'DOE25'!J360</f>
        <v>2423.5</v>
      </c>
      <c r="G29" s="53">
        <f>'DOE25'!K358+'DOE25'!K359+'DOE25'!K360</f>
        <v>400.09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362955.86</v>
      </c>
      <c r="D31" s="20">
        <f>'DOE25'!L290+'DOE25'!L309+'DOE25'!L328+'DOE25'!L333+'DOE25'!L334+'DOE25'!L335-F31-G31</f>
        <v>283458.63999999996</v>
      </c>
      <c r="E31" s="243"/>
      <c r="F31" s="255">
        <f>'DOE25'!J290+'DOE25'!J309+'DOE25'!J328+'DOE25'!J333+'DOE25'!J334+'DOE25'!J335</f>
        <v>63594.630000000005</v>
      </c>
      <c r="G31" s="53">
        <f>'DOE25'!K290+'DOE25'!K309+'DOE25'!K328+'DOE25'!K333+'DOE25'!K334+'DOE25'!K335</f>
        <v>15902.59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21498760.59</v>
      </c>
      <c r="E33" s="246">
        <f>SUM(E5:E31)</f>
        <v>1377086.15</v>
      </c>
      <c r="F33" s="246">
        <f>SUM(F5:F31)</f>
        <v>1138877.7599999998</v>
      </c>
      <c r="G33" s="246">
        <f>SUM(G5:G31)</f>
        <v>53818.539999999994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1377086.15</v>
      </c>
      <c r="E35" s="249"/>
    </row>
    <row r="36" spans="2:8" ht="12" thickTop="1" x14ac:dyDescent="0.2">
      <c r="B36" t="s">
        <v>814</v>
      </c>
      <c r="D36" s="20">
        <f>D33</f>
        <v>21498760.59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21" activePane="bottomLeft" state="frozen"/>
      <selection activeCell="F46" sqref="F46"/>
      <selection pane="bottomLeft" activeCell="M31" sqref="M3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INTER-LAKES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435519.86</v>
      </c>
      <c r="D8" s="95">
        <f>'DOE25'!G9</f>
        <v>0</v>
      </c>
      <c r="E8" s="95">
        <f>'DOE25'!H9</f>
        <v>0</v>
      </c>
      <c r="F8" s="95">
        <f>'DOE25'!I9</f>
        <v>3231.11</v>
      </c>
      <c r="G8" s="95">
        <f>'DOE25'!J9</f>
        <v>737830.98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9345550.3300000001</v>
      </c>
      <c r="D11" s="95">
        <f>'DOE25'!G12</f>
        <v>4094846.81</v>
      </c>
      <c r="E11" s="95">
        <f>'DOE25'!H12</f>
        <v>4123386.13</v>
      </c>
      <c r="F11" s="95">
        <f>'DOE25'!I12</f>
        <v>334970.38</v>
      </c>
      <c r="G11" s="95">
        <f>'DOE25'!J12</f>
        <v>25000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337135.45</v>
      </c>
      <c r="D12" s="95">
        <f>'DOE25'!G13</f>
        <v>55489.77</v>
      </c>
      <c r="E12" s="95">
        <f>'DOE25'!H13</f>
        <v>48279.86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787.11999999999989</v>
      </c>
      <c r="D13" s="95">
        <f>'DOE25'!G14</f>
        <v>-4010.41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537179.80000000005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10656172.559999999</v>
      </c>
      <c r="D18" s="41">
        <f>SUM(D8:D17)</f>
        <v>4146326.17</v>
      </c>
      <c r="E18" s="41">
        <f>SUM(E8:E17)</f>
        <v>4171665.9899999998</v>
      </c>
      <c r="F18" s="41">
        <f>SUM(F8:F17)</f>
        <v>338201.49</v>
      </c>
      <c r="G18" s="41">
        <f>SUM(G8:G17)</f>
        <v>762830.98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9292959.0899999999</v>
      </c>
      <c r="D21" s="95">
        <f>'DOE25'!G22</f>
        <v>4113936.89</v>
      </c>
      <c r="E21" s="95">
        <f>'DOE25'!H22</f>
        <v>4103742.5500000003</v>
      </c>
      <c r="F21" s="95">
        <f>'DOE25'!I22</f>
        <v>340147.06</v>
      </c>
      <c r="G21" s="95">
        <f>'DOE25'!J22</f>
        <v>25000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160.4</v>
      </c>
      <c r="E22" s="95">
        <f>'DOE25'!H23</f>
        <v>0</v>
      </c>
      <c r="F22" s="95">
        <f>'DOE25'!I23</f>
        <v>0</v>
      </c>
      <c r="G22" s="95">
        <f>'DOE25'!J23</f>
        <v>250000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410570.2</v>
      </c>
      <c r="D23" s="95">
        <f>'DOE25'!G24</f>
        <v>319.35000000000002</v>
      </c>
      <c r="E23" s="95">
        <f>'DOE25'!H24</f>
        <v>4010.9700000000003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10766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654.97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9714295.2899999991</v>
      </c>
      <c r="D31" s="41">
        <f>SUM(D21:D30)</f>
        <v>4114416.64</v>
      </c>
      <c r="E31" s="41">
        <f>SUM(E21:E30)</f>
        <v>4108408.4900000007</v>
      </c>
      <c r="F31" s="41">
        <f>SUM(F21:F30)</f>
        <v>340147.06</v>
      </c>
      <c r="G31" s="41">
        <f>SUM(G21:G30)</f>
        <v>275000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31909.53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63257.5</v>
      </c>
      <c r="F47" s="95">
        <f>'DOE25'!I48</f>
        <v>-1945.570000000298</v>
      </c>
      <c r="G47" s="95">
        <f>'DOE25'!J48</f>
        <v>487830.98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276946.90999999997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564930.36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941877.27</v>
      </c>
      <c r="D50" s="41">
        <f>SUM(D34:D49)</f>
        <v>31909.53</v>
      </c>
      <c r="E50" s="41">
        <f>SUM(E34:E49)</f>
        <v>63257.5</v>
      </c>
      <c r="F50" s="41">
        <f>SUM(F34:F49)</f>
        <v>-1945.570000000298</v>
      </c>
      <c r="G50" s="41">
        <f>SUM(G34:G49)</f>
        <v>487830.98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10656172.559999999</v>
      </c>
      <c r="D51" s="41">
        <f>D50+D31</f>
        <v>4146326.17</v>
      </c>
      <c r="E51" s="41">
        <f>E50+E31</f>
        <v>4171665.9900000007</v>
      </c>
      <c r="F51" s="41">
        <f>F50+F31</f>
        <v>338201.4899999997</v>
      </c>
      <c r="G51" s="41">
        <f>G50+G31</f>
        <v>762830.98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16116444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53946.65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2236.7600000000002</v>
      </c>
      <c r="D59" s="95">
        <f>'DOE25'!G96</f>
        <v>0</v>
      </c>
      <c r="E59" s="95">
        <f>'DOE25'!H96</f>
        <v>0</v>
      </c>
      <c r="F59" s="95">
        <f>'DOE25'!I96</f>
        <v>60.33</v>
      </c>
      <c r="G59" s="95">
        <f>'DOE25'!J96</f>
        <v>5208.25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211241.15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48407.3</v>
      </c>
      <c r="D61" s="95">
        <f>SUM('DOE25'!G98:G110)</f>
        <v>0</v>
      </c>
      <c r="E61" s="95">
        <f>SUM('DOE25'!H98:H110)</f>
        <v>112388.02</v>
      </c>
      <c r="F61" s="95">
        <f>SUM('DOE25'!I98:I110)</f>
        <v>30000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104590.71</v>
      </c>
      <c r="D62" s="130">
        <f>SUM(D57:D61)</f>
        <v>211241.15</v>
      </c>
      <c r="E62" s="130">
        <f>SUM(E57:E61)</f>
        <v>112388.02</v>
      </c>
      <c r="F62" s="130">
        <f>SUM(F57:F61)</f>
        <v>30060.33</v>
      </c>
      <c r="G62" s="130">
        <f>SUM(G57:G61)</f>
        <v>5208.25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16221034.710000001</v>
      </c>
      <c r="D63" s="22">
        <f>D56+D62</f>
        <v>211241.15</v>
      </c>
      <c r="E63" s="22">
        <f>E56+E62</f>
        <v>112388.02</v>
      </c>
      <c r="F63" s="22">
        <f>F56+F62</f>
        <v>30060.33</v>
      </c>
      <c r="G63" s="22">
        <f>G56+G62</f>
        <v>5208.25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227070.67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6143220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6370290.6699999999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77949.47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25933.29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14226.4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6044.09</v>
      </c>
      <c r="E77" s="95">
        <f>SUM('DOE25'!H131:H135)</f>
        <v>0</v>
      </c>
      <c r="F77" s="95">
        <f>SUM('DOE25'!I131:I135)</f>
        <v>270925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118109.16</v>
      </c>
      <c r="D78" s="130">
        <f>SUM(D72:D77)</f>
        <v>6044.09</v>
      </c>
      <c r="E78" s="130">
        <f>SUM(E72:E77)</f>
        <v>0</v>
      </c>
      <c r="F78" s="130">
        <f>SUM(F72:F77)</f>
        <v>270925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1500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6488399.8300000001</v>
      </c>
      <c r="D81" s="130">
        <f>SUM(D79:D80)+D78+D70</f>
        <v>7544.09</v>
      </c>
      <c r="E81" s="130">
        <f>SUM(E79:E80)+E78+E70</f>
        <v>0</v>
      </c>
      <c r="F81" s="130">
        <f>SUM(F79:F80)+F78+F70</f>
        <v>270925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221592.16</v>
      </c>
      <c r="D88" s="95">
        <f>SUM('DOE25'!G153:G161)</f>
        <v>213536.14</v>
      </c>
      <c r="E88" s="95">
        <f>SUM('DOE25'!H153:H161)</f>
        <v>270681.00999999995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8078.84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229671</v>
      </c>
      <c r="D91" s="131">
        <f>SUM(D85:D90)</f>
        <v>213536.14</v>
      </c>
      <c r="E91" s="131">
        <f>SUM(E85:E90)</f>
        <v>270681.00999999995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64023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250000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250000</v>
      </c>
      <c r="D103" s="86">
        <f>SUM(D93:D102)</f>
        <v>0</v>
      </c>
      <c r="E103" s="86">
        <f>SUM(E93:E102)</f>
        <v>0</v>
      </c>
      <c r="F103" s="86">
        <f>SUM(F93:F102)</f>
        <v>64023</v>
      </c>
      <c r="G103" s="86">
        <f>SUM(G93:G102)</f>
        <v>75000</v>
      </c>
    </row>
    <row r="104" spans="1:7" ht="12.75" thickTop="1" thickBot="1" x14ac:dyDescent="0.25">
      <c r="A104" s="33" t="s">
        <v>764</v>
      </c>
      <c r="C104" s="86">
        <f>C63+C81+C91+C103</f>
        <v>23189105.539999999</v>
      </c>
      <c r="D104" s="86">
        <f>D63+D81+D91+D103</f>
        <v>432321.38</v>
      </c>
      <c r="E104" s="86">
        <f>E63+E81+E91+E103</f>
        <v>383069.02999999997</v>
      </c>
      <c r="F104" s="86">
        <f>F63+F81+F91+F103</f>
        <v>365008.33</v>
      </c>
      <c r="G104" s="86">
        <f>G63+G81+G103</f>
        <v>80208.25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8818749.1799999997</v>
      </c>
      <c r="D109" s="24" t="s">
        <v>288</v>
      </c>
      <c r="E109" s="95">
        <f>('DOE25'!L276)+('DOE25'!L295)+('DOE25'!L314)</f>
        <v>237343.74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3332144.29</v>
      </c>
      <c r="D110" s="24" t="s">
        <v>288</v>
      </c>
      <c r="E110" s="95">
        <f>('DOE25'!L277)+('DOE25'!L296)+('DOE25'!L315)</f>
        <v>4710.22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111998.74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519848.91000000003</v>
      </c>
      <c r="D112" s="24" t="s">
        <v>288</v>
      </c>
      <c r="E112" s="95">
        <f>+('DOE25'!L279)+('DOE25'!L298)+('DOE25'!L317)</f>
        <v>13385.25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12782741.119999999</v>
      </c>
      <c r="D115" s="86">
        <f>SUM(D109:D114)</f>
        <v>0</v>
      </c>
      <c r="E115" s="86">
        <f>SUM(E109:E114)</f>
        <v>255439.21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1635538.92</v>
      </c>
      <c r="D118" s="24" t="s">
        <v>288</v>
      </c>
      <c r="E118" s="95">
        <f>+('DOE25'!L281)+('DOE25'!L300)+('DOE25'!L319)</f>
        <v>1923.24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1486699.81</v>
      </c>
      <c r="D119" s="24" t="s">
        <v>288</v>
      </c>
      <c r="E119" s="95">
        <f>+('DOE25'!L282)+('DOE25'!L301)+('DOE25'!L320)</f>
        <v>86506.82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934705.66</v>
      </c>
      <c r="D120" s="24" t="s">
        <v>288</v>
      </c>
      <c r="E120" s="95">
        <f>+('DOE25'!L283)+('DOE25'!L302)+('DOE25'!L321)</f>
        <v>15902.59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1410255.62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20955.38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3189500.5100000002</v>
      </c>
      <c r="D123" s="24" t="s">
        <v>288</v>
      </c>
      <c r="E123" s="95">
        <f>+('DOE25'!L286)+('DOE25'!L305)+('DOE25'!L324)</f>
        <v>1020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934291.90999999992</v>
      </c>
      <c r="D124" s="24" t="s">
        <v>288</v>
      </c>
      <c r="E124" s="95">
        <f>+('DOE25'!L287)+('DOE25'!L306)+('DOE25'!L325)</f>
        <v>2164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873884.66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416763.59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10485832.470000001</v>
      </c>
      <c r="D128" s="86">
        <f>SUM(D118:D127)</f>
        <v>416763.59</v>
      </c>
      <c r="E128" s="86">
        <f>SUM(E118:E127)</f>
        <v>107516.65000000001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923912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250000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80208.25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-5208.25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75000</v>
      </c>
      <c r="D144" s="141">
        <f>SUM(D130:D143)</f>
        <v>0</v>
      </c>
      <c r="E144" s="141">
        <f>SUM(E130:E143)</f>
        <v>0</v>
      </c>
      <c r="F144" s="141">
        <f>SUM(F130:F143)</f>
        <v>923912</v>
      </c>
      <c r="G144" s="141">
        <f>SUM(G130:G143)</f>
        <v>250000</v>
      </c>
    </row>
    <row r="145" spans="1:9" ht="12.75" thickTop="1" thickBot="1" x14ac:dyDescent="0.25">
      <c r="A145" s="33" t="s">
        <v>244</v>
      </c>
      <c r="C145" s="86">
        <f>(C115+C128+C144)</f>
        <v>23343573.59</v>
      </c>
      <c r="D145" s="86">
        <f>(D115+D128+D144)</f>
        <v>416763.59</v>
      </c>
      <c r="E145" s="86">
        <f>(E115+E128+E144)</f>
        <v>362955.86</v>
      </c>
      <c r="F145" s="86">
        <f>(F115+F128+F144)</f>
        <v>923912</v>
      </c>
      <c r="G145" s="86">
        <f>(G115+G128+G144)</f>
        <v>250000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INTER-LAKES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21064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23001</v>
      </c>
    </row>
    <row r="7" spans="1:4" x14ac:dyDescent="0.2">
      <c r="B7" t="s">
        <v>704</v>
      </c>
      <c r="C7" s="179">
        <f>IF('DOE25'!I665+'DOE25'!I670=0,0,ROUND('DOE25'!I672,0))</f>
        <v>21677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9056093</v>
      </c>
      <c r="D10" s="182">
        <f>ROUND((C10/$C$28)*100,1)</f>
        <v>38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3336855</v>
      </c>
      <c r="D11" s="182">
        <f>ROUND((C11/$C$28)*100,1)</f>
        <v>14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111999</v>
      </c>
      <c r="D12" s="182">
        <f>ROUND((C12/$C$28)*100,1)</f>
        <v>0.5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533234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1637462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1573207</v>
      </c>
      <c r="D16" s="182">
        <f t="shared" si="0"/>
        <v>6.6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1824493</v>
      </c>
      <c r="D17" s="182">
        <f t="shared" si="0"/>
        <v>7.7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1410256</v>
      </c>
      <c r="D18" s="182">
        <f t="shared" si="0"/>
        <v>5.9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20955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3190521</v>
      </c>
      <c r="D20" s="182">
        <f t="shared" si="0"/>
        <v>13.4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936456</v>
      </c>
      <c r="D21" s="182">
        <f t="shared" si="0"/>
        <v>3.9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205522.85</v>
      </c>
      <c r="D27" s="182">
        <f t="shared" si="0"/>
        <v>0.9</v>
      </c>
    </row>
    <row r="28" spans="1:4" x14ac:dyDescent="0.2">
      <c r="B28" s="187" t="s">
        <v>722</v>
      </c>
      <c r="C28" s="180">
        <f>SUM(C10:C27)</f>
        <v>23837053.850000001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923912</v>
      </c>
    </row>
    <row r="30" spans="1:4" x14ac:dyDescent="0.2">
      <c r="B30" s="187" t="s">
        <v>728</v>
      </c>
      <c r="C30" s="180">
        <f>SUM(C28:C29)</f>
        <v>24760965.850000001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16116444</v>
      </c>
      <c r="D35" s="182">
        <f t="shared" ref="D35:D40" si="1">ROUND((C35/$C$41)*100,1)</f>
        <v>67.599999999999994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252247.31000000052</v>
      </c>
      <c r="D36" s="182">
        <f t="shared" si="1"/>
        <v>1.1000000000000001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6370291</v>
      </c>
      <c r="D37" s="182">
        <f t="shared" si="1"/>
        <v>26.7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396578</v>
      </c>
      <c r="D38" s="182">
        <f t="shared" si="1"/>
        <v>1.7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713888</v>
      </c>
      <c r="D39" s="182">
        <f t="shared" si="1"/>
        <v>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23849448.310000002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64023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INTER-LAKES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7</v>
      </c>
      <c r="B4" s="219">
        <v>12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9</v>
      </c>
      <c r="B5" s="219">
        <v>12</v>
      </c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2017-09-19T15:08:44Z</cp:lastPrinted>
  <dcterms:created xsi:type="dcterms:W3CDTF">1997-12-04T19:04:30Z</dcterms:created>
  <dcterms:modified xsi:type="dcterms:W3CDTF">2017-11-29T17:29:34Z</dcterms:modified>
</cp:coreProperties>
</file>