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H526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C111" i="2" s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G662" i="1" s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E110" i="2" s="1"/>
  <c r="L297" i="1"/>
  <c r="E111" i="2" s="1"/>
  <c r="L298" i="1"/>
  <c r="E112" i="2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112" i="1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E143" i="2" s="1"/>
  <c r="I665" i="1"/>
  <c r="I670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19" i="2"/>
  <c r="C122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F476" i="1" s="1"/>
  <c r="H622" i="1" s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A31" i="12"/>
  <c r="D18" i="2"/>
  <c r="C78" i="2"/>
  <c r="D91" i="2"/>
  <c r="D19" i="13"/>
  <c r="C19" i="13" s="1"/>
  <c r="E13" i="13"/>
  <c r="C13" i="13" s="1"/>
  <c r="I169" i="1"/>
  <c r="G476" i="1"/>
  <c r="H623" i="1" s="1"/>
  <c r="J623" i="1" s="1"/>
  <c r="G338" i="1"/>
  <c r="G352" i="1" s="1"/>
  <c r="J140" i="1"/>
  <c r="I552" i="1"/>
  <c r="H140" i="1"/>
  <c r="F22" i="13"/>
  <c r="C22" i="13" s="1"/>
  <c r="H192" i="1"/>
  <c r="J655" i="1"/>
  <c r="L570" i="1"/>
  <c r="J622" i="1" l="1"/>
  <c r="K598" i="1"/>
  <c r="G647" i="1" s="1"/>
  <c r="K551" i="1"/>
  <c r="L534" i="1"/>
  <c r="H552" i="1"/>
  <c r="H545" i="1"/>
  <c r="K549" i="1"/>
  <c r="K552" i="1" s="1"/>
  <c r="L524" i="1"/>
  <c r="H476" i="1"/>
  <c r="H624" i="1" s="1"/>
  <c r="J476" i="1"/>
  <c r="H626" i="1" s="1"/>
  <c r="L427" i="1"/>
  <c r="L434" i="1" s="1"/>
  <c r="G638" i="1" s="1"/>
  <c r="J638" i="1" s="1"/>
  <c r="H408" i="1"/>
  <c r="H644" i="1" s="1"/>
  <c r="J644" i="1" s="1"/>
  <c r="L401" i="1"/>
  <c r="C139" i="2" s="1"/>
  <c r="G408" i="1"/>
  <c r="H645" i="1" s="1"/>
  <c r="J645" i="1" s="1"/>
  <c r="L393" i="1"/>
  <c r="C138" i="2" s="1"/>
  <c r="J634" i="1"/>
  <c r="L270" i="1"/>
  <c r="E16" i="13"/>
  <c r="J651" i="1"/>
  <c r="L247" i="1"/>
  <c r="H660" i="1" s="1"/>
  <c r="H664" i="1" s="1"/>
  <c r="D6" i="13"/>
  <c r="C6" i="13" s="1"/>
  <c r="G257" i="1"/>
  <c r="G271" i="1" s="1"/>
  <c r="C17" i="10"/>
  <c r="L229" i="1"/>
  <c r="G660" i="1" s="1"/>
  <c r="F257" i="1"/>
  <c r="F271" i="1" s="1"/>
  <c r="C10" i="10"/>
  <c r="D14" i="13"/>
  <c r="C14" i="13" s="1"/>
  <c r="C123" i="2"/>
  <c r="C20" i="10"/>
  <c r="K257" i="1"/>
  <c r="K271" i="1" s="1"/>
  <c r="A40" i="12"/>
  <c r="C110" i="2"/>
  <c r="H257" i="1"/>
  <c r="H271" i="1" s="1"/>
  <c r="C109" i="2"/>
  <c r="L211" i="1"/>
  <c r="F660" i="1" s="1"/>
  <c r="D5" i="13"/>
  <c r="C5" i="13" s="1"/>
  <c r="A13" i="12"/>
  <c r="F192" i="1"/>
  <c r="C91" i="2"/>
  <c r="J624" i="1"/>
  <c r="D31" i="2"/>
  <c r="C18" i="2"/>
  <c r="J617" i="1"/>
  <c r="J647" i="1"/>
  <c r="C16" i="13"/>
  <c r="L382" i="1"/>
  <c r="G636" i="1" s="1"/>
  <c r="J636" i="1" s="1"/>
  <c r="E109" i="2"/>
  <c r="E11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C32" i="10"/>
  <c r="F661" i="1"/>
  <c r="G112" i="1"/>
  <c r="K503" i="1"/>
  <c r="E118" i="2"/>
  <c r="E128" i="2" s="1"/>
  <c r="E145" i="2" s="1"/>
  <c r="C13" i="10"/>
  <c r="C12" i="10"/>
  <c r="H112" i="1"/>
  <c r="I452" i="1"/>
  <c r="I461" i="1" s="1"/>
  <c r="H642" i="1" s="1"/>
  <c r="J642" i="1" s="1"/>
  <c r="D12" i="13"/>
  <c r="C12" i="13" s="1"/>
  <c r="C35" i="10"/>
  <c r="C36" i="10" s="1"/>
  <c r="G649" i="1"/>
  <c r="J649" i="1" s="1"/>
  <c r="J338" i="1"/>
  <c r="J352" i="1" s="1"/>
  <c r="C124" i="2"/>
  <c r="C120" i="2"/>
  <c r="C81" i="2"/>
  <c r="L544" i="1"/>
  <c r="L614" i="1"/>
  <c r="K500" i="1"/>
  <c r="I52" i="1"/>
  <c r="H620" i="1" s="1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E104" i="2"/>
  <c r="I663" i="1"/>
  <c r="C27" i="10"/>
  <c r="G635" i="1"/>
  <c r="J635" i="1" s="1"/>
  <c r="L545" i="1" l="1"/>
  <c r="L408" i="1"/>
  <c r="G637" i="1" s="1"/>
  <c r="J637" i="1" s="1"/>
  <c r="C141" i="2"/>
  <c r="C144" i="2" s="1"/>
  <c r="H667" i="1"/>
  <c r="H672" i="1"/>
  <c r="C6" i="10" s="1"/>
  <c r="I660" i="1"/>
  <c r="C128" i="2"/>
  <c r="C115" i="2"/>
  <c r="F664" i="1"/>
  <c r="F672" i="1" s="1"/>
  <c r="C4" i="10" s="1"/>
  <c r="L257" i="1"/>
  <c r="L271" i="1" s="1"/>
  <c r="G632" i="1" s="1"/>
  <c r="J632" i="1" s="1"/>
  <c r="C104" i="2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I664" i="1"/>
  <c r="I672" i="1" s="1"/>
  <c r="C7" i="10" s="1"/>
  <c r="C145" i="2"/>
  <c r="D21" i="10"/>
  <c r="D12" i="10"/>
  <c r="D16" i="10"/>
  <c r="D13" i="10"/>
  <c r="D18" i="10"/>
  <c r="D20" i="10"/>
  <c r="F667" i="1"/>
  <c r="D11" i="10"/>
  <c r="D24" i="10"/>
  <c r="D17" i="10"/>
  <c r="D23" i="10"/>
  <c r="D27" i="10"/>
  <c r="C30" i="10"/>
  <c r="D26" i="10"/>
  <c r="D22" i="10"/>
  <c r="D10" i="10"/>
  <c r="D25" i="10"/>
  <c r="D15" i="10"/>
  <c r="D33" i="13"/>
  <c r="D36" i="13" s="1"/>
  <c r="G672" i="1"/>
  <c r="C5" i="10" s="1"/>
  <c r="G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<sst xmlns="http://schemas.openxmlformats.org/spreadsheetml/2006/main" count="3955" uniqueCount="913">
  <si>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</si>
  <si>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</si>
  <si>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</si>
  <si>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</si>
  <si>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</si>
  <si>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</si>
  <si>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</si>
  <si>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</si>
  <si>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</si>
  <si>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</si>
  <si>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</si>
  <si>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</si>
  <si>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</si>
  <si>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</si>
  <si>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</si>
  <si>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</si>
  <si>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</si>
  <si>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</si>
  <si>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</si>
  <si>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</si>
  <si>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</si>
  <si>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</si>
  <si>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</si>
  <si>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</si>
  <si>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</si>
  <si>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</si>
  <si>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</si>
  <si>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</si>
  <si>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</si>
  <si>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</si>
  <si>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</si>
  <si>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</si>
  <si>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</si>
  <si>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</si>
  <si>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</si>
  <si>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</si>
  <si>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</si>
  <si>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</si>
  <si>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</si>
  <si>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</si>
  <si>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</si>
  <si>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</si>
  <si>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</si>
  <si>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</si>
  <si>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</si>
  <si>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</si>
  <si>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</si>
  <si>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</si>
  <si>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</si>
  <si>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</si>
  <si>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</si>
  <si>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</si>
  <si>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</si>
  <si>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</si>
  <si>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</si>
  <si>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</si>
  <si>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</si>
  <si>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</si>
  <si>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</si>
  <si>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</si>
  <si>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</si>
  <si>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</si>
  <si>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</si>
  <si>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</si>
  <si>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</si>
  <si>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</si>
  <si>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</si>
  <si>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</si>
  <si>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</si>
  <si>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</si>
  <si>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</si>
  <si>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</si>
  <si>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</si>
  <si>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</si>
  <si>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</si>
  <si>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</si>
  <si>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</si>
  <si>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</si>
  <si>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</si>
  <si>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</si>
  <si>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</si>
  <si>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</si>
  <si>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</si>
  <si>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</si>
  <si>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</si>
  <si>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</si>
  <si>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</si>
  <si>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</si>
  <si>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</si>
  <si>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</si>
  <si>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</si>
  <si>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</si>
  <si>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</si>
  <si>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</si>
  <si>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</si>
  <si>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</si>
  <si>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</si>
  <si>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</si>
  <si>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</si>
  <si>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</si>
  <si>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</si>
  <si>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</si>
  <si>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</si>
  <si>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</si>
  <si>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</si>
  <si>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</si>
  <si>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</si>
  <si>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</si>
  <si>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</si>
  <si>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</si>
  <si>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</si>
  <si>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</si>
  <si>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</si>
  <si>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</si>
  <si>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</si>
  <si>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</si>
  <si>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</si>
  <si>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</si>
  <si>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</si>
  <si>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</si>
  <si>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</si>
  <si>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</si>
  <si>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</si>
  <si>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</si>
  <si>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</si>
  <si>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</si>
  <si>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</si>
  <si>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</si>
  <si>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</si>
  <si>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</si>
  <si>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</si>
  <si>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</si>
  <si>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</si>
  <si>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</si>
  <si>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</si>
  <si>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</si>
  <si>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</si>
  <si>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</si>
  <si>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</si>
  <si>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</si>
  <si>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</si>
  <si>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</si>
  <si>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</si>
  <si>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</si>
  <si>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</si>
  <si>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</si>
  <si>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</si>
  <si>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</si>
  <si>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</si>
  <si>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</si>
  <si>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</si>
  <si>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</si>
  <si>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</si>
  <si>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</si>
  <si>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</si>
  <si>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</si>
  <si>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</si>
  <si>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</si>
  <si>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</si>
  <si>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</si>
  <si>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</si>
  <si>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</si>
  <si>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</si>
  <si>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</si>
  <si>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</si>
  <si>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</si>
  <si>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</si>
  <si>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</si>
  <si>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</si>
  <si>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</si>
  <si>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</si>
  <si>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</si>
  <si>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</si>
  <si>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</si>
  <si>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</si>
  <si>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</si>
  <si>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</si>
  <si>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</si>
  <si>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</si>
  <si>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</si>
  <si>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</si>
  <si>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</si>
  <si>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</si>
  <si>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</si>
  <si>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</si>
  <si>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</si>
  <si>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</si>
  <si>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</si>
  <si>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</si>
  <si>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</si>
  <si>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</si>
  <si>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</si>
  <si>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</si>
  <si>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</si>
  <si>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</si>
  <si>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</si>
  <si>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</si>
  <si>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</si>
  <si>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</si>
  <si>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</si>
  <si>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</si>
  <si>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</si>
  <si>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</si>
  <si>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</si>
  <si>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</si>
  <si>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</si>
  <si>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</si>
  <si>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</si>
  <si>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</si>
  <si>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</si>
  <si>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</si>
  <si>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</si>
  <si>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</si>
  <si>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</si>
  <si>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</si>
  <si>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</si>
  <si>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</si>
  <si>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</si>
  <si>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</si>
  <si>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</si>
  <si>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</si>
  <si>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</si>
  <si>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</si>
  <si>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</si>
  <si>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</si>
  <si>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</si>
  <si>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</si>
  <si>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</si>
  <si>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</si>
  <si>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</si>
  <si>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</si>
  <si>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</si>
  <si>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</si>
  <si>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</si>
  <si>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</si>
  <si>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</si>
  <si>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</si>
  <si>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</si>
  <si>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</si>
  <si>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</si>
  <si>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</si>
  <si>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</si>
  <si>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</si>
  <si>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</si>
  <si>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</si>
  <si>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</si>
  <si>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</si>
  <si>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</si>
  <si>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</si>
  <si>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</si>
  <si>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</si>
  <si>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</si>
  <si>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</si>
  <si>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</si>
  <si>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</si>
  <si>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</si>
  <si>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</si>
  <si>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</si>
  <si>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</si>
  <si>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</si>
  <si>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</si>
  <si>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</si>
  <si>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</si>
  <si>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</si>
  <si>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</si>
  <si>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</si>
  <si>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</si>
  <si>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</si>
  <si>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</si>
  <si>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</si>
  <si>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</si>
  <si>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</si>
  <si>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</si>
  <si>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</si>
  <si>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</si>
  <si>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</si>
  <si>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</si>
  <si>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</si>
  <si>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</si>
  <si>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</si>
  <si>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</si>
  <si>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</si>
  <si>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</si>
  <si>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</si>
  <si>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</si>
  <si>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</si>
  <si>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</si>
  <si>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</si>
  <si>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</si>
  <si>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</si>
  <si>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</si>
  <si>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</si>
  <si>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</si>
  <si>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</si>
  <si>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</si>
  <si>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</si>
  <si>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</si>
  <si>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</si>
  <si>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</si>
  <si>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</si>
  <si>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</si>
  <si>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</si>
  <si>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</si>
  <si>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</si>
  <si>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</si>
  <si>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</si>
  <si>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</si>
  <si>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</si>
  <si>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</si>
  <si>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</si>
  <si>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</si>
  <si>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</si>
  <si>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</si>
  <si>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</si>
  <si>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</si>
  <si>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</si>
  <si>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</si>
  <si>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</si>
  <si>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</si>
  <si>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</si>
  <si>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</si>
  <si>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</si>
  <si>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</si>
  <si>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</si>
  <si>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</si>
  <si>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</si>
  <si>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</si>
  <si>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</si>
  <si>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</si>
  <si>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</si>
  <si>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</si>
  <si>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</si>
  <si>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</si>
  <si>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</si>
  <si>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</si>
  <si>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</si>
  <si>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</si>
  <si>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</si>
  <si>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</si>
  <si>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</si>
  <si>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</si>
  <si>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</si>
  <si>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</si>
  <si>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</si>
  <si>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</si>
  <si>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</si>
  <si>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</si>
  <si>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</si>
  <si>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</si>
  <si>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</si>
  <si>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</si>
  <si>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</si>
  <si>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</si>
  <si>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</si>
  <si>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</si>
  <si>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</si>
  <si>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</si>
  <si>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</si>
  <si>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</si>
  <si>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</si>
  <si>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</si>
  <si>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</si>
  <si>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</si>
  <si>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</si>
  <si>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</si>
  <si>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</si>
  <si>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</si>
  <si>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</si>
  <si>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</si>
  <si>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</si>
  <si>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</si>
  <si>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</si>
  <si>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</si>
  <si>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</si>
  <si>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</si>
  <si>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</si>
  <si>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</si>
  <si>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</si>
  <si>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</si>
  <si>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</si>
  <si>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</si>
  <si>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</si>
  <si>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</si>
  <si>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</si>
  <si>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</si>
  <si>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</si>
  <si>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</si>
  <si>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</si>
  <si>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</si>
  <si>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</si>
  <si>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</si>
  <si>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</si>
  <si>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</si>
  <si>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</si>
  <si>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</si>
  <si>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</si>
  <si>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</si>
  <si>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</si>
  <si>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</si>
  <si>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</si>
  <si>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</si>
  <si>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</si>
  <si>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</si>
  <si>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</si>
  <si>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</si>
  <si>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</si>
  <si>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</si>
  <si>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</si>
  <si>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</si>
  <si>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</si>
  <si>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</si>
  <si>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</si>
  <si>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</si>
  <si>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</si>
  <si>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</si>
  <si>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</si>
  <si>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</si>
  <si>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</si>
  <si>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</si>
  <si>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</si>
  <si>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</si>
  <si>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</si>
  <si>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</si>
  <si>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</si>
  <si>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</si>
  <si>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</si>
  <si>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</si>
  <si>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</si>
  <si>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</si>
  <si>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</si>
  <si>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</si>
  <si>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</si>
  <si>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</si>
  <si>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</si>
  <si>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</si>
  <si>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</si>
  <si>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</si>
  <si>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</si>
  <si>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</si>
  <si>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</si>
  <si>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</si>
  <si>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</si>
  <si>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</si>
  <si>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</si>
  <si>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</si>
  <si>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</si>
  <si>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</si>
  <si>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</si>
  <si>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</si>
  <si>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</si>
  <si>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</si>
  <si>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</si>
  <si>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</si>
  <si>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</si>
  <si>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</si>
  <si>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</si>
  <si>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</si>
  <si>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</si>
  <si>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</si>
  <si>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</si>
  <si>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</si>
  <si>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</si>
  <si>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</si>
  <si>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</si>
  <si>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</si>
  <si>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</si>
  <si>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</si>
  <si>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</si>
  <si>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</si>
  <si>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</si>
  <si>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</si>
  <si>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</si>
  <si>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</si>
  <si>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</si>
  <si>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</si>
  <si>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</si>
  <si>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</si>
  <si>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</si>
  <si>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</si>
  <si>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</si>
  <si>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</si>
  <si>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</si>
  <si>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</si>
  <si>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</si>
  <si>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</si>
  <si>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</si>
  <si>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</si>
  <si>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</si>
  <si>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</si>
  <si>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</si>
  <si>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</si>
  <si>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</si>
  <si>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</si>
  <si>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</si>
  <si>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</si>
  <si>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</si>
  <si>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</si>
  <si>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</si>
  <si>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</si>
  <si>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</si>
  <si>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</si>
  <si>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</si>
  <si>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</si>
  <si>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</si>
  <si>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</si>
  <si>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</si>
  <si>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</si>
  <si>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</si>
  <si>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</si>
  <si>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</si>
  <si>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</si>
  <si>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</si>
  <si>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</si>
  <si>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</si>
  <si>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</si>
  <si>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</si>
  <si>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</si>
  <si>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</si>
  <si>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</si>
  <si>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</si>
  <si>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</si>
  <si>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</si>
  <si>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</si>
  <si>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</si>
  <si>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</si>
  <si>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</si>
  <si>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</si>
  <si>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</si>
  <si>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</si>
  <si>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</si>
  <si>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</si>
  <si>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</si>
  <si>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</si>
  <si>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</si>
  <si>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</si>
  <si>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</si>
  <si>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</si>
  <si>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</si>
  <si>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</si>
  <si>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</si>
  <si>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</si>
  <si>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</si>
  <si>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</si>
  <si>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</si>
  <si>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</si>
  <si>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</si>
  <si>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</si>
  <si>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</si>
  <si>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</si>
  <si>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</si>
  <si>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</si>
  <si>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</si>
  <si>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</si>
  <si>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</si>
  <si>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</si>
  <si>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</si>
  <si>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</si>
  <si>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</si>
  <si>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</si>
  <si>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</si>
  <si>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</si>
  <si>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</si>
  <si>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</si>
  <si>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</si>
  <si>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</si>
  <si>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</si>
  <si>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</si>
  <si>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</si>
  <si>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</si>
  <si>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</si>
  <si>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</si>
  <si>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</si>
  <si>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</si>
  <si>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</si>
  <si>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</si>
  <si>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</si>
  <si>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</si>
  <si>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</si>
  <si>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</si>
  <si>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</si>
  <si>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</si>
  <si>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</si>
  <si>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</si>
  <si>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</si>
  <si>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</si>
  <si>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</si>
  <si>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</si>
  <si>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</si>
  <si>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</si>
  <si>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</si>
  <si>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</si>
  <si>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</si>
  <si>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</si>
  <si>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</si>
  <si>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</si>
  <si>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</si>
  <si>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</si>
  <si>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</si>
  <si>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</si>
  <si>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</si>
  <si>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</si>
  <si>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</si>
  <si>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</si>
  <si>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</si>
  <si>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</si>
  <si>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</si>
  <si>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</si>
  <si>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</si>
  <si>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</si>
  <si>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</si>
  <si>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</si>
  <si>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</si>
  <si>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</si>
  <si>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</si>
  <si>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</si>
  <si>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</si>
  <si>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</si>
  <si>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</si>
  <si>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</si>
  <si>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</si>
  <si>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</si>
  <si>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</si>
  <si>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</si>
  <si>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</si>
  <si>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</si>
  <si>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</si>
  <si>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</si>
  <si>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</si>
  <si>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</si>
  <si>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</si>
  <si>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</si>
  <si>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</si>
  <si>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</si>
  <si>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</si>
  <si>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</si>
  <si>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</si>
  <si>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</si>
  <si>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</si>
  <si>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</si>
  <si>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</si>
  <si>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</si>
  <si>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</si>
  <si>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</si>
  <si>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</si>
  <si>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</si>
  <si>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</si>
  <si>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</si>
  <si>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</si>
  <si>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</si>
  <si>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</si>
  <si>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</si>
  <si>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</si>
  <si>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</si>
  <si>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</si>
  <si>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</si>
  <si>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</si>
  <si>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</si>
  <si>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</si>
  <si>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</si>
  <si>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</si>
  <si>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</si>
  <si>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</si>
  <si>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</si>
  <si>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</si>
  <si>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</si>
  <si>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</si>
  <si>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</si>
  <si>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</si>
  <si>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</si>
  <si>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</si>
  <si>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</si>
  <si>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</si>
  <si>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</si>
  <si>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</si>
  <si>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</si>
  <si>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</si>
  <si>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</si>
  <si>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</si>
  <si>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</si>
  <si>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</si>
  <si>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</si>
  <si>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</si>
  <si>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</si>
  <si>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</si>
  <si>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</si>
  <si>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</si>
  <si>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</si>
  <si>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</si>
  <si>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</si>
  <si>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</si>
  <si>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</si>
  <si>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</si>
  <si>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</si>
  <si>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</si>
  <si>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</si>
  <si>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</si>
  <si>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</si>
  <si>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</si>
  <si>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</si>
  <si>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</si>
  <si>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</si>
  <si>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</si>
  <si>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</si>
  <si>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</si>
  <si>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</si>
  <si>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</si>
  <si>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</si>
  <si>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</si>
  <si>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</si>
  <si>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</si>
  <si>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</si>
  <si>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</si>
  <si>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</si>
  <si>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</si>
  <si>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</si>
  <si>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</si>
  <si>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</si>
  <si>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</si>
  <si>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</si>
  <si>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</si>
  <si>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</si>
  <si>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</si>
  <si>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</si>
  <si>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</si>
  <si>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</si>
  <si>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</si>
  <si>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</si>
  <si>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</si>
  <si>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</si>
  <si>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</si>
  <si>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</si>
  <si>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</si>
  <si>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</si>
  <si>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</si>
  <si>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</si>
  <si>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</si>
  <si>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</si>
  <si>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</si>
  <si>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</si>
  <si>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</si>
  <si>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</si>
  <si>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</si>
  <si>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</si>
  <si>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</si>
  <si>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</si>
  <si>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</si>
  <si>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</si>
  <si>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</si>
  <si>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</si>
  <si>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</si>
  <si>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</si>
  <si>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</si>
  <si>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</si>
  <si>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</si>
  <si>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</si>
  <si>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</si>
  <si>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</si>
  <si>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</si>
  <si>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</si>
  <si>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</si>
  <si>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</si>
  <si>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</si>
  <si>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</si>
  <si>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</si>
  <si>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</si>
  <si>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</si>
  <si>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</si>
  <si>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</si>
  <si>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</si>
  <si>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</si>
  <si>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</si>
  <si>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</si>
  <si>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</si>
  <si>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</si>
  <si>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</si>
  <si>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</si>
  <si>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</si>
  <si>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</si>
  <si>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</si>
  <si>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</si>
  <si>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</si>
  <si>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</si>
  <si>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</si>
  <si>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</si>
  <si>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</si>
  <si>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</si>
  <si>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</si>
  <si>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</si>
  <si>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</si>
  <si>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</si>
  <si>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</si>
  <si>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</si>
  <si>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</si>
  <si>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</si>
  <si>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</si>
  <si>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</si>
  <si>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</si>
  <si>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</si>
  <si>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</si>
  <si>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</si>
  <si>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</si>
  <si>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</si>
  <si>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</si>
  <si>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</si>
  <si>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</si>
  <si>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</si>
  <si>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</si>
  <si>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</si>
  <si>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</si>
  <si>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</si>
  <si>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</si>
  <si>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</si>
  <si>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</si>
  <si>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</si>
  <si>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</si>
  <si>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</si>
  <si>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</si>
  <si>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</si>
  <si>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</si>
  <si>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</si>
  <si>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</si>
  <si>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</si>
  <si>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</si>
  <si>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</si>
  <si>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</si>
  <si>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</si>
  <si>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</si>
  <si>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</si>
  <si>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</si>
  <si>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</si>
  <si>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</si>
  <si>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</si>
  <si>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</si>
  <si>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</si>
  <si>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</si>
  <si>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</si>
  <si>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</si>
  <si>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</si>
  <si>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</si>
  <si>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</si>
  <si>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</si>
  <si>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</si>
  <si>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</si>
  <si>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</si>
  <si>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</si>
  <si>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</si>
  <si>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</si>
  <si>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</si>
  <si>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</si>
  <si>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</si>
  <si>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</si>
  <si>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</si>
  <si>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</si>
  <si>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</si>
  <si>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</si>
  <si>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</si>
  <si>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</si>
  <si>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</si>
  <si>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</si>
  <si>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</si>
  <si>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</si>
  <si>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</si>
  <si>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</si>
  <si>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</si>
  <si>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</si>
  <si>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</si>
  <si>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</si>
  <si>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</si>
  <si>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</si>
  <si>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</si>
  <si>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</si>
  <si>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</si>
  <si>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</si>
  <si>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</si>
  <si>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</si>
  <si>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</si>
  <si>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</si>
  <si>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</si>
  <si>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</si>
  <si>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</si>
  <si>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</si>
  <si>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</si>
  <si>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</si>
  <si>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</si>
  <si>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</si>
  <si>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</si>
  <si>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</si>
  <si>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</si>
  <si>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</si>
  <si>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</si>
  <si>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</si>
  <si>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</si>
  <si>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</si>
  <si>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</si>
  <si>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</si>
  <si>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</si>
  <si>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</si>
  <si>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</si>
  <si>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</si>
  <si>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</si>
  <si>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</si>
  <si>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</si>
  <si>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</si>
  <si>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</si>
  <si>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</si>
  <si>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</si>
  <si>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</si>
  <si>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</si>
  <si>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</si>
  <si>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</si>
  <si>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</si>
  <si>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</si>
  <si>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JACKSON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</si>
</sst>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271</v>
      </c>
      <c r="C2" s="21">
        <v>271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130285.78+150</f>
        <v>130435.78</v>
      </c>
      <c r="G9" s="18"/>
      <c r="H9" s="18"/>
      <c r="I9" s="18"/>
      <c r="J9" s="67">
        <f>SUM(I439)</f>
        <v>403212.62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4878.13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664.3</v>
      </c>
      <c r="H13" s="18">
        <v>6741.28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480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135793.91</v>
      </c>
      <c r="G19" s="41">
        <f>SUM(G9:G18)</f>
        <v>664.3</v>
      </c>
      <c r="H19" s="41">
        <f>SUM(H9:H18)</f>
        <v>6741.28</v>
      </c>
      <c r="I19" s="41">
        <f>SUM(I9:I18)</f>
        <v>0</v>
      </c>
      <c r="J19" s="41">
        <f>SUM(J9:J18)</f>
        <v>403212.62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664.3</v>
      </c>
      <c r="H23" s="18">
        <v>4213.83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1453.91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2083.56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14915.24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18452.71</v>
      </c>
      <c r="G32" s="41">
        <f>SUM(G22:G31)</f>
        <v>664.3</v>
      </c>
      <c r="H32" s="41">
        <f>SUM(H22:H31)</f>
        <v>4213.83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2527.4499999999998</v>
      </c>
      <c r="I48" s="18"/>
      <c r="J48" s="13">
        <f>SUM(I459)</f>
        <v>403212.62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117341.2-25000</f>
        <v>92341.2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117341.2</v>
      </c>
      <c r="G51" s="41">
        <f>SUM(G35:G50)</f>
        <v>0</v>
      </c>
      <c r="H51" s="41">
        <f>SUM(H35:H50)</f>
        <v>2527.4499999999998</v>
      </c>
      <c r="I51" s="41">
        <f>SUM(I35:I50)</f>
        <v>0</v>
      </c>
      <c r="J51" s="41">
        <f>SUM(J35:J50)</f>
        <v>403212.62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135793.91</v>
      </c>
      <c r="G52" s="41">
        <f>G51+G32</f>
        <v>664.3</v>
      </c>
      <c r="H52" s="41">
        <f>H51+H32</f>
        <v>6741.28</v>
      </c>
      <c r="I52" s="41">
        <f>I51+I32</f>
        <v>0</v>
      </c>
      <c r="J52" s="41">
        <f>J51+J32</f>
        <v>403212.62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1298566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1298566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2500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4240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6740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2758.8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8986.9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3502.75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22194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25696.75</v>
      </c>
      <c r="G111" s="41">
        <f>SUM(G96:G110)</f>
        <v>8986.9</v>
      </c>
      <c r="H111" s="41">
        <f>SUM(H96:H110)</f>
        <v>0</v>
      </c>
      <c r="I111" s="41">
        <f>SUM(I96:I110)</f>
        <v>0</v>
      </c>
      <c r="J111" s="41">
        <f>SUM(J96:J110)</f>
        <v>2758.8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1331002.75</v>
      </c>
      <c r="G112" s="41">
        <f>G60+G111</f>
        <v>8986.9</v>
      </c>
      <c r="H112" s="41">
        <f>H60+H79+H94+H111</f>
        <v>0</v>
      </c>
      <c r="I112" s="41">
        <f>I60+I111</f>
        <v>0</v>
      </c>
      <c r="J112" s="41">
        <f>J60+J111</f>
        <v>2758.8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71251.820000000007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907943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979194.82000000007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185.51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185.51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979194.82000000007</v>
      </c>
      <c r="G140" s="41">
        <f>G121+SUM(G136:G137)</f>
        <v>185.51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15210.86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4129.97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3863.5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120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4493.45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4493.45</v>
      </c>
      <c r="G162" s="41">
        <f>SUM(G150:G161)</f>
        <v>3863.5</v>
      </c>
      <c r="H162" s="41">
        <f>SUM(H150:H161)</f>
        <v>19460.830000000002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16252.95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20746.400000000001</v>
      </c>
      <c r="G169" s="41">
        <f>G147+G162+SUM(G163:G168)</f>
        <v>3863.5</v>
      </c>
      <c r="H169" s="41">
        <f>H147+H162+SUM(H163:H168)</f>
        <v>19460.830000000002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9304.76</v>
      </c>
      <c r="H179" s="18"/>
      <c r="I179" s="18"/>
      <c r="J179" s="18">
        <v>28000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9304.76</v>
      </c>
      <c r="H183" s="41">
        <f>SUM(H179:H182)</f>
        <v>0</v>
      </c>
      <c r="I183" s="41">
        <f>SUM(I179:I182)</f>
        <v>0</v>
      </c>
      <c r="J183" s="41">
        <f>SUM(J179:J182)</f>
        <v>28000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4143.32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4143.32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4143.32</v>
      </c>
      <c r="G192" s="41">
        <f>G183+SUM(G188:G191)</f>
        <v>9304.76</v>
      </c>
      <c r="H192" s="41">
        <f>+H183+SUM(H188:H191)</f>
        <v>0</v>
      </c>
      <c r="I192" s="41">
        <f>I177+I183+SUM(I188:I191)</f>
        <v>0</v>
      </c>
      <c r="J192" s="41">
        <f>J183</f>
        <v>28000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2335087.29</v>
      </c>
      <c r="G193" s="47">
        <f>G112+G140+G169+G192</f>
        <v>22340.67</v>
      </c>
      <c r="H193" s="47">
        <f>H112+H140+H169+H192</f>
        <v>19460.830000000002</v>
      </c>
      <c r="I193" s="47">
        <f>I112+I140+I169+I192</f>
        <v>0</v>
      </c>
      <c r="J193" s="47">
        <f>J112+J140+J192</f>
        <v>30758.799999999999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322890.96000000002</v>
      </c>
      <c r="G197" s="18">
        <v>199724.34</v>
      </c>
      <c r="H197" s="18">
        <v>10847.02</v>
      </c>
      <c r="I197" s="18">
        <v>9164.0499999999993</v>
      </c>
      <c r="J197" s="18">
        <v>7593.26</v>
      </c>
      <c r="K197" s="18"/>
      <c r="L197" s="19">
        <f>SUM(F197:K197)</f>
        <v>550219.63000000012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15183.24</v>
      </c>
      <c r="G198" s="18">
        <v>1446.58</v>
      </c>
      <c r="H198" s="18">
        <v>10617.61</v>
      </c>
      <c r="I198" s="18">
        <v>111.14</v>
      </c>
      <c r="J198" s="18"/>
      <c r="K198" s="18"/>
      <c r="L198" s="19">
        <f>SUM(F198:K198)</f>
        <v>27358.57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10740.5</v>
      </c>
      <c r="G200" s="18">
        <v>926.48</v>
      </c>
      <c r="H200" s="18">
        <v>9431.2900000000009</v>
      </c>
      <c r="I200" s="18">
        <v>286.31</v>
      </c>
      <c r="J200" s="18"/>
      <c r="K200" s="18"/>
      <c r="L200" s="19">
        <f>SUM(F200:K200)</f>
        <v>21384.58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11049.65</v>
      </c>
      <c r="G202" s="18">
        <v>1007.67</v>
      </c>
      <c r="H202" s="18">
        <v>34513.67</v>
      </c>
      <c r="I202" s="18">
        <v>337.35</v>
      </c>
      <c r="J202" s="18"/>
      <c r="K202" s="18"/>
      <c r="L202" s="19">
        <f t="shared" ref="L202:L208" si="0">SUM(F202:K202)</f>
        <v>46908.34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11165.59</v>
      </c>
      <c r="G203" s="18">
        <v>3272.06</v>
      </c>
      <c r="H203" s="18">
        <v>14931.81</v>
      </c>
      <c r="I203" s="18">
        <v>1130.43</v>
      </c>
      <c r="J203" s="18"/>
      <c r="K203" s="18"/>
      <c r="L203" s="19">
        <f t="shared" si="0"/>
        <v>30499.89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4608</v>
      </c>
      <c r="G204" s="18">
        <v>352.52</v>
      </c>
      <c r="H204" s="18">
        <v>55389.66</v>
      </c>
      <c r="I204" s="18"/>
      <c r="J204" s="18"/>
      <c r="K204" s="18">
        <v>984.53</v>
      </c>
      <c r="L204" s="19">
        <f t="shared" si="0"/>
        <v>61334.710000000006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90413.14</v>
      </c>
      <c r="G205" s="18">
        <v>65166.68</v>
      </c>
      <c r="H205" s="18">
        <v>777.34</v>
      </c>
      <c r="I205" s="18">
        <v>2566.29</v>
      </c>
      <c r="J205" s="18"/>
      <c r="K205" s="18">
        <v>574</v>
      </c>
      <c r="L205" s="19">
        <f t="shared" si="0"/>
        <v>159497.45000000001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60083.35</v>
      </c>
      <c r="G207" s="18">
        <v>26185.59</v>
      </c>
      <c r="H207" s="18">
        <v>49400.29</v>
      </c>
      <c r="I207" s="18">
        <v>23911.95</v>
      </c>
      <c r="J207" s="18">
        <v>523</v>
      </c>
      <c r="K207" s="18"/>
      <c r="L207" s="19">
        <f t="shared" si="0"/>
        <v>160104.18000000002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33838.639999999999</v>
      </c>
      <c r="G208" s="18">
        <v>26343.85</v>
      </c>
      <c r="H208" s="18">
        <v>4593.93</v>
      </c>
      <c r="I208" s="18">
        <v>9942.61</v>
      </c>
      <c r="J208" s="18"/>
      <c r="K208" s="18"/>
      <c r="L208" s="19">
        <f t="shared" si="0"/>
        <v>74719.03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143.83000000000001</v>
      </c>
      <c r="I209" s="18"/>
      <c r="J209" s="18"/>
      <c r="K209" s="18"/>
      <c r="L209" s="19">
        <f>SUM(F209:K209)</f>
        <v>143.83000000000001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559973.07000000007</v>
      </c>
      <c r="G211" s="41">
        <f t="shared" si="1"/>
        <v>324425.77</v>
      </c>
      <c r="H211" s="41">
        <f t="shared" si="1"/>
        <v>190646.44999999998</v>
      </c>
      <c r="I211" s="41">
        <f t="shared" si="1"/>
        <v>47450.130000000005</v>
      </c>
      <c r="J211" s="41">
        <f t="shared" si="1"/>
        <v>8116.26</v>
      </c>
      <c r="K211" s="41">
        <f t="shared" si="1"/>
        <v>1558.53</v>
      </c>
      <c r="L211" s="41">
        <f t="shared" si="1"/>
        <v>1132170.21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351481.51</v>
      </c>
      <c r="I215" s="18"/>
      <c r="J215" s="18"/>
      <c r="K215" s="18"/>
      <c r="L215" s="19">
        <f>SUM(F215:K215)</f>
        <v>351481.51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1872</v>
      </c>
      <c r="G222" s="18">
        <v>143.19999999999999</v>
      </c>
      <c r="H222" s="18">
        <v>22502.05</v>
      </c>
      <c r="I222" s="18"/>
      <c r="J222" s="18"/>
      <c r="K222" s="18">
        <v>399.96</v>
      </c>
      <c r="L222" s="19">
        <f t="shared" si="2"/>
        <v>24917.21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12413.86</v>
      </c>
      <c r="G226" s="18">
        <v>10345.76</v>
      </c>
      <c r="H226" s="18">
        <v>1837.57</v>
      </c>
      <c r="I226" s="18">
        <v>3977.05</v>
      </c>
      <c r="J226" s="18"/>
      <c r="K226" s="18"/>
      <c r="L226" s="19">
        <f t="shared" si="2"/>
        <v>28574.240000000002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57.53</v>
      </c>
      <c r="I227" s="18"/>
      <c r="J227" s="18"/>
      <c r="K227" s="18"/>
      <c r="L227" s="19">
        <f>SUM(F227:K227)</f>
        <v>57.53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14285.86</v>
      </c>
      <c r="G229" s="41">
        <f>SUM(G215:G228)</f>
        <v>10488.960000000001</v>
      </c>
      <c r="H229" s="41">
        <f>SUM(H215:H228)</f>
        <v>375878.66000000003</v>
      </c>
      <c r="I229" s="41">
        <f>SUM(I215:I228)</f>
        <v>3977.05</v>
      </c>
      <c r="J229" s="41">
        <f>SUM(J215:J228)</f>
        <v>0</v>
      </c>
      <c r="K229" s="41">
        <f t="shared" si="3"/>
        <v>399.96</v>
      </c>
      <c r="L229" s="41">
        <f t="shared" si="3"/>
        <v>405030.49000000005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632413</v>
      </c>
      <c r="I233" s="18"/>
      <c r="J233" s="18"/>
      <c r="K233" s="18"/>
      <c r="L233" s="19">
        <f>SUM(F233:K233)</f>
        <v>632413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8948</v>
      </c>
      <c r="I238" s="18"/>
      <c r="J238" s="18"/>
      <c r="K238" s="18"/>
      <c r="L238" s="19">
        <f t="shared" ref="L238:L244" si="4">SUM(F238:K238)</f>
        <v>8948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3120</v>
      </c>
      <c r="G240" s="18">
        <v>238.68</v>
      </c>
      <c r="H240" s="18">
        <v>37503.42</v>
      </c>
      <c r="I240" s="18"/>
      <c r="J240" s="18"/>
      <c r="K240" s="18">
        <v>666.6</v>
      </c>
      <c r="L240" s="19">
        <f t="shared" si="4"/>
        <v>41528.699999999997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18620.79</v>
      </c>
      <c r="G244" s="18">
        <v>15518.65</v>
      </c>
      <c r="H244" s="18">
        <v>2756.35</v>
      </c>
      <c r="I244" s="18">
        <v>5965.57</v>
      </c>
      <c r="J244" s="18"/>
      <c r="K244" s="18"/>
      <c r="L244" s="19">
        <f t="shared" si="4"/>
        <v>42861.36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86.3</v>
      </c>
      <c r="I245" s="18"/>
      <c r="J245" s="18"/>
      <c r="K245" s="18"/>
      <c r="L245" s="19">
        <f>SUM(F245:K245)</f>
        <v>86.3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21740.79</v>
      </c>
      <c r="G247" s="41">
        <f t="shared" si="5"/>
        <v>15757.33</v>
      </c>
      <c r="H247" s="41">
        <f t="shared" si="5"/>
        <v>681707.07000000007</v>
      </c>
      <c r="I247" s="41">
        <f t="shared" si="5"/>
        <v>5965.57</v>
      </c>
      <c r="J247" s="41">
        <f t="shared" si="5"/>
        <v>0</v>
      </c>
      <c r="K247" s="41">
        <f t="shared" si="5"/>
        <v>666.6</v>
      </c>
      <c r="L247" s="41">
        <f t="shared" si="5"/>
        <v>725837.36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595999.72000000009</v>
      </c>
      <c r="G257" s="41">
        <f t="shared" si="8"/>
        <v>350672.06000000006</v>
      </c>
      <c r="H257" s="41">
        <f t="shared" si="8"/>
        <v>1248232.1800000002</v>
      </c>
      <c r="I257" s="41">
        <f t="shared" si="8"/>
        <v>57392.750000000007</v>
      </c>
      <c r="J257" s="41">
        <f t="shared" si="8"/>
        <v>8116.26</v>
      </c>
      <c r="K257" s="41">
        <f t="shared" si="8"/>
        <v>2625.09</v>
      </c>
      <c r="L257" s="41">
        <f t="shared" si="8"/>
        <v>2263038.06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9304.76</v>
      </c>
      <c r="L263" s="19">
        <f>SUM(F263:K263)</f>
        <v>9304.76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28000</v>
      </c>
      <c r="L266" s="19">
        <f t="shared" si="9"/>
        <v>28000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37304.76</v>
      </c>
      <c r="L270" s="41">
        <f t="shared" si="9"/>
        <v>37304.76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595999.72000000009</v>
      </c>
      <c r="G271" s="42">
        <f t="shared" si="11"/>
        <v>350672.06000000006</v>
      </c>
      <c r="H271" s="42">
        <f t="shared" si="11"/>
        <v>1248232.1800000002</v>
      </c>
      <c r="I271" s="42">
        <f t="shared" si="11"/>
        <v>57392.750000000007</v>
      </c>
      <c r="J271" s="42">
        <f t="shared" si="11"/>
        <v>8116.26</v>
      </c>
      <c r="K271" s="42">
        <f t="shared" si="11"/>
        <v>39929.850000000006</v>
      </c>
      <c r="L271" s="42">
        <f t="shared" si="11"/>
        <v>2300342.8199999998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>
        <v>7448.79</v>
      </c>
      <c r="J276" s="18">
        <v>7762.07</v>
      </c>
      <c r="K276" s="18"/>
      <c r="L276" s="19">
        <f>SUM(F276:K276)</f>
        <v>15210.86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5025.76</v>
      </c>
      <c r="I281" s="18"/>
      <c r="J281" s="18"/>
      <c r="K281" s="18"/>
      <c r="L281" s="19">
        <f t="shared" ref="L281:L287" si="12">SUM(F281:K281)</f>
        <v>5025.76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5025.76</v>
      </c>
      <c r="I290" s="42">
        <f t="shared" si="13"/>
        <v>7448.79</v>
      </c>
      <c r="J290" s="42">
        <f t="shared" si="13"/>
        <v>7762.07</v>
      </c>
      <c r="K290" s="42">
        <f t="shared" si="13"/>
        <v>0</v>
      </c>
      <c r="L290" s="41">
        <f t="shared" si="13"/>
        <v>20236.620000000003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5025.76</v>
      </c>
      <c r="I338" s="41">
        <f t="shared" si="20"/>
        <v>7448.79</v>
      </c>
      <c r="J338" s="41">
        <f t="shared" si="20"/>
        <v>7762.07</v>
      </c>
      <c r="K338" s="41">
        <f t="shared" si="20"/>
        <v>0</v>
      </c>
      <c r="L338" s="41">
        <f t="shared" si="20"/>
        <v>20236.620000000003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5025.76</v>
      </c>
      <c r="I352" s="41">
        <f>I338</f>
        <v>7448.79</v>
      </c>
      <c r="J352" s="41">
        <f>J338</f>
        <v>7762.07</v>
      </c>
      <c r="K352" s="47">
        <f>K338+K351</f>
        <v>0</v>
      </c>
      <c r="L352" s="41">
        <f>L338+L351</f>
        <v>20236.620000000003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8602.41</v>
      </c>
      <c r="G358" s="18">
        <v>959.16</v>
      </c>
      <c r="H358" s="18">
        <v>1590.88</v>
      </c>
      <c r="I358" s="18">
        <v>11188.22</v>
      </c>
      <c r="J358" s="18"/>
      <c r="K358" s="18"/>
      <c r="L358" s="13">
        <f>SUM(F358:K358)</f>
        <v>22340.67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8602.41</v>
      </c>
      <c r="G362" s="47">
        <f t="shared" si="22"/>
        <v>959.16</v>
      </c>
      <c r="H362" s="47">
        <f t="shared" si="22"/>
        <v>1590.88</v>
      </c>
      <c r="I362" s="47">
        <f t="shared" si="22"/>
        <v>11188.22</v>
      </c>
      <c r="J362" s="47">
        <f t="shared" si="22"/>
        <v>0</v>
      </c>
      <c r="K362" s="47">
        <f t="shared" si="22"/>
        <v>0</v>
      </c>
      <c r="L362" s="47">
        <f t="shared" si="22"/>
        <v>22340.67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11188.22</v>
      </c>
      <c r="G367" s="18"/>
      <c r="H367" s="18"/>
      <c r="I367" s="56">
        <f>SUM(F367:H367)</f>
        <v>11188.22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11188.22</v>
      </c>
      <c r="G369" s="47">
        <f>SUM(G367:G368)</f>
        <v>0</v>
      </c>
      <c r="H369" s="47">
        <f>SUM(H367:H368)</f>
        <v>0</v>
      </c>
      <c r="I369" s="47">
        <f>SUM(I367:I368)</f>
        <v>11188.22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10000</v>
      </c>
      <c r="H390" s="18">
        <v>727.75</v>
      </c>
      <c r="I390" s="18"/>
      <c r="J390" s="24" t="s">
        <v>288</v>
      </c>
      <c r="K390" s="24" t="s">
        <v>288</v>
      </c>
      <c r="L390" s="56">
        <f t="shared" si="25"/>
        <v>10727.75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727.75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10727.75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15000</v>
      </c>
      <c r="H396" s="18">
        <v>497.43</v>
      </c>
      <c r="I396" s="18"/>
      <c r="J396" s="24" t="s">
        <v>288</v>
      </c>
      <c r="K396" s="24" t="s">
        <v>288</v>
      </c>
      <c r="L396" s="56">
        <f t="shared" si="26"/>
        <v>15497.43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781.22</v>
      </c>
      <c r="I397" s="18"/>
      <c r="J397" s="24" t="s">
        <v>288</v>
      </c>
      <c r="K397" s="24" t="s">
        <v>288</v>
      </c>
      <c r="L397" s="56">
        <f t="shared" si="26"/>
        <v>781.22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490.84</v>
      </c>
      <c r="I398" s="18"/>
      <c r="J398" s="24" t="s">
        <v>288</v>
      </c>
      <c r="K398" s="24" t="s">
        <v>288</v>
      </c>
      <c r="L398" s="56">
        <f t="shared" si="26"/>
        <v>490.84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3000</v>
      </c>
      <c r="H400" s="18">
        <v>261.56</v>
      </c>
      <c r="I400" s="18"/>
      <c r="J400" s="24" t="s">
        <v>288</v>
      </c>
      <c r="K400" s="24" t="s">
        <v>288</v>
      </c>
      <c r="L400" s="56">
        <f t="shared" si="26"/>
        <v>3261.56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18000</v>
      </c>
      <c r="H401" s="47">
        <f>SUM(H395:H400)</f>
        <v>2031.05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20031.05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28000</v>
      </c>
      <c r="H408" s="47">
        <f>H393+H401+H407</f>
        <v>2758.8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30758.799999999999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>
        <v>4143.32</v>
      </c>
      <c r="L425" s="56">
        <f t="shared" si="29"/>
        <v>4143.32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4143.32</v>
      </c>
      <c r="L427" s="47">
        <f t="shared" si="30"/>
        <v>4143.32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4143.32</v>
      </c>
      <c r="L434" s="47">
        <f t="shared" si="32"/>
        <v>4143.32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98104.08</v>
      </c>
      <c r="G439" s="18">
        <v>305108.53999999998</v>
      </c>
      <c r="H439" s="18"/>
      <c r="I439" s="56">
        <f t="shared" ref="I439:I445" si="33">SUM(F439:H439)</f>
        <v>403212.62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98104.08</v>
      </c>
      <c r="G446" s="13">
        <f>SUM(G439:G445)</f>
        <v>305108.53999999998</v>
      </c>
      <c r="H446" s="13">
        <f>SUM(H439:H445)</f>
        <v>0</v>
      </c>
      <c r="I446" s="13">
        <f>SUM(I439:I445)</f>
        <v>403212.62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98104.08</v>
      </c>
      <c r="G459" s="18">
        <v>305108.53999999998</v>
      </c>
      <c r="H459" s="18"/>
      <c r="I459" s="56">
        <f t="shared" si="34"/>
        <v>403212.62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98104.08</v>
      </c>
      <c r="G460" s="83">
        <f>SUM(G454:G459)</f>
        <v>305108.53999999998</v>
      </c>
      <c r="H460" s="83">
        <f>SUM(H454:H459)</f>
        <v>0</v>
      </c>
      <c r="I460" s="83">
        <f>SUM(I454:I459)</f>
        <v>403212.62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98104.08</v>
      </c>
      <c r="G461" s="42">
        <f>G452+G460</f>
        <v>305108.53999999998</v>
      </c>
      <c r="H461" s="42">
        <f>H452+H460</f>
        <v>0</v>
      </c>
      <c r="I461" s="42">
        <f>I452+I460</f>
        <v>403212.62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82596.73</v>
      </c>
      <c r="G465" s="18">
        <v>0</v>
      </c>
      <c r="H465" s="18">
        <v>3303.24</v>
      </c>
      <c r="I465" s="18"/>
      <c r="J465" s="18">
        <v>376597.14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2335087.29</v>
      </c>
      <c r="G468" s="18">
        <v>22340.67</v>
      </c>
      <c r="H468" s="18">
        <v>19460.830000000002</v>
      </c>
      <c r="I468" s="18"/>
      <c r="J468" s="18">
        <v>30758.799999999999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2335087.29</v>
      </c>
      <c r="G470" s="53">
        <f>SUM(G468:G469)</f>
        <v>22340.67</v>
      </c>
      <c r="H470" s="53">
        <f>SUM(H468:H469)</f>
        <v>19460.830000000002</v>
      </c>
      <c r="I470" s="53">
        <f>SUM(I468:I469)</f>
        <v>0</v>
      </c>
      <c r="J470" s="53">
        <f>SUM(J468:J469)</f>
        <v>30758.799999999999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2300342.8199999998</v>
      </c>
      <c r="G472" s="18">
        <v>22340.67</v>
      </c>
      <c r="H472" s="18">
        <v>20236.62</v>
      </c>
      <c r="I472" s="18"/>
      <c r="J472" s="18">
        <v>4143.32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2300342.8199999998</v>
      </c>
      <c r="G474" s="53">
        <f>SUM(G472:G473)</f>
        <v>22340.67</v>
      </c>
      <c r="H474" s="53">
        <f>SUM(H472:H473)</f>
        <v>20236.62</v>
      </c>
      <c r="I474" s="53">
        <f>SUM(I472:I473)</f>
        <v>0</v>
      </c>
      <c r="J474" s="53">
        <f>SUM(J472:J473)</f>
        <v>4143.32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117341.20000000019</v>
      </c>
      <c r="G476" s="53">
        <f>(G465+G470)- G474</f>
        <v>0</v>
      </c>
      <c r="H476" s="53">
        <f>(H465+H470)- H474</f>
        <v>2527.4500000000007</v>
      </c>
      <c r="I476" s="53">
        <f>(I465+I470)- I474</f>
        <v>0</v>
      </c>
      <c r="J476" s="53">
        <f>(J465+J470)- J474</f>
        <v>403212.62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15183.24</v>
      </c>
      <c r="G521" s="18">
        <v>1446.58</v>
      </c>
      <c r="H521" s="18">
        <v>10617.61</v>
      </c>
      <c r="I521" s="18">
        <v>111.14</v>
      </c>
      <c r="J521" s="18"/>
      <c r="K521" s="18"/>
      <c r="L521" s="88">
        <f>SUM(F521:K521)</f>
        <v>27358.57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15183.24</v>
      </c>
      <c r="G524" s="108">
        <f t="shared" ref="G524:L524" si="36">SUM(G521:G523)</f>
        <v>1446.58</v>
      </c>
      <c r="H524" s="108">
        <f t="shared" si="36"/>
        <v>10617.61</v>
      </c>
      <c r="I524" s="108">
        <f t="shared" si="36"/>
        <v>111.14</v>
      </c>
      <c r="J524" s="108">
        <f t="shared" si="36"/>
        <v>0</v>
      </c>
      <c r="K524" s="108">
        <f t="shared" si="36"/>
        <v>0</v>
      </c>
      <c r="L524" s="89">
        <f t="shared" si="36"/>
        <v>27358.57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24794.89+120</f>
        <v>24914.89</v>
      </c>
      <c r="I526" s="18">
        <v>99.49</v>
      </c>
      <c r="J526" s="18"/>
      <c r="K526" s="18"/>
      <c r="L526" s="88">
        <f>SUM(F526:K526)</f>
        <v>25014.38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24914.89</v>
      </c>
      <c r="I529" s="89">
        <f t="shared" si="37"/>
        <v>99.49</v>
      </c>
      <c r="J529" s="89">
        <f t="shared" si="37"/>
        <v>0</v>
      </c>
      <c r="K529" s="89">
        <f t="shared" si="37"/>
        <v>0</v>
      </c>
      <c r="L529" s="89">
        <f t="shared" si="37"/>
        <v>25014.38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8437.81</v>
      </c>
      <c r="I531" s="18"/>
      <c r="J531" s="18"/>
      <c r="K531" s="18"/>
      <c r="L531" s="88">
        <f>SUM(F531:K531)</f>
        <v>8437.81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3427.85</v>
      </c>
      <c r="I532" s="18"/>
      <c r="J532" s="18"/>
      <c r="K532" s="18"/>
      <c r="L532" s="88">
        <f>SUM(F532:K532)</f>
        <v>3427.85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5713.09</v>
      </c>
      <c r="I533" s="18"/>
      <c r="J533" s="18"/>
      <c r="K533" s="18"/>
      <c r="L533" s="88">
        <f>SUM(F533:K533)</f>
        <v>5713.09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17578.75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17578.75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15183.24</v>
      </c>
      <c r="G545" s="89">
        <f t="shared" ref="G545:L545" si="41">G524+G529+G534+G539+G544</f>
        <v>1446.58</v>
      </c>
      <c r="H545" s="89">
        <f t="shared" si="41"/>
        <v>53111.25</v>
      </c>
      <c r="I545" s="89">
        <f t="shared" si="41"/>
        <v>210.63</v>
      </c>
      <c r="J545" s="89">
        <f t="shared" si="41"/>
        <v>0</v>
      </c>
      <c r="K545" s="89">
        <f t="shared" si="41"/>
        <v>0</v>
      </c>
      <c r="L545" s="89">
        <f t="shared" si="41"/>
        <v>69951.7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27358.57</v>
      </c>
      <c r="G549" s="87">
        <f>L526</f>
        <v>25014.38</v>
      </c>
      <c r="H549" s="87">
        <f>L531</f>
        <v>8437.81</v>
      </c>
      <c r="I549" s="87">
        <f>L536</f>
        <v>0</v>
      </c>
      <c r="J549" s="87">
        <f>L541</f>
        <v>0</v>
      </c>
      <c r="K549" s="87">
        <f>SUM(F549:J549)</f>
        <v>60810.759999999995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3427.85</v>
      </c>
      <c r="I550" s="87">
        <f>L537</f>
        <v>0</v>
      </c>
      <c r="J550" s="87">
        <f>L542</f>
        <v>0</v>
      </c>
      <c r="K550" s="87">
        <f>SUM(F550:J550)</f>
        <v>3427.85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5713.09</v>
      </c>
      <c r="I551" s="87">
        <f>L538</f>
        <v>0</v>
      </c>
      <c r="J551" s="87">
        <f>L543</f>
        <v>0</v>
      </c>
      <c r="K551" s="87">
        <f>SUM(F551:J551)</f>
        <v>5713.09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27358.57</v>
      </c>
      <c r="G552" s="89">
        <f t="shared" si="42"/>
        <v>25014.38</v>
      </c>
      <c r="H552" s="89">
        <f t="shared" si="42"/>
        <v>17578.75</v>
      </c>
      <c r="I552" s="89">
        <f t="shared" si="42"/>
        <v>0</v>
      </c>
      <c r="J552" s="89">
        <f t="shared" si="42"/>
        <v>0</v>
      </c>
      <c r="K552" s="89">
        <f t="shared" si="42"/>
        <v>69951.7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351481.51</v>
      </c>
      <c r="H575" s="18">
        <v>632413</v>
      </c>
      <c r="I575" s="87">
        <f>SUM(F575:H575)</f>
        <v>983894.51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6017.61</v>
      </c>
      <c r="G582" s="18"/>
      <c r="H582" s="18"/>
      <c r="I582" s="87">
        <f t="shared" si="47"/>
        <v>6017.61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71435.63</v>
      </c>
      <c r="I591" s="18">
        <v>28574.240000000002</v>
      </c>
      <c r="J591" s="18">
        <v>42861.36</v>
      </c>
      <c r="K591" s="104">
        <f t="shared" ref="K591:K597" si="48">SUM(H591:J591)</f>
        <v>142871.23000000001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2500.6</v>
      </c>
      <c r="I595" s="18"/>
      <c r="J595" s="18"/>
      <c r="K595" s="104">
        <f t="shared" si="48"/>
        <v>2500.6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782.8</v>
      </c>
      <c r="I597" s="18"/>
      <c r="J597" s="18"/>
      <c r="K597" s="104">
        <f t="shared" si="48"/>
        <v>782.8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74719.030000000013</v>
      </c>
      <c r="I598" s="108">
        <f>SUM(I591:I597)</f>
        <v>28574.240000000002</v>
      </c>
      <c r="J598" s="108">
        <f>SUM(J591:J597)</f>
        <v>42861.36</v>
      </c>
      <c r="K598" s="108">
        <f>SUM(K591:K597)</f>
        <v>146154.63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15878.33</v>
      </c>
      <c r="I604" s="18"/>
      <c r="J604" s="18"/>
      <c r="K604" s="104">
        <f>SUM(H604:J604)</f>
        <v>15878.33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15878.33</v>
      </c>
      <c r="I605" s="108">
        <f>SUM(I602:I604)</f>
        <v>0</v>
      </c>
      <c r="J605" s="108">
        <f>SUM(J602:J604)</f>
        <v>0</v>
      </c>
      <c r="K605" s="108">
        <f>SUM(K602:K604)</f>
        <v>15878.33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7240.5</v>
      </c>
      <c r="G611" s="18">
        <v>553.89</v>
      </c>
      <c r="H611" s="18"/>
      <c r="I611" s="18">
        <v>260.41000000000003</v>
      </c>
      <c r="J611" s="18"/>
      <c r="K611" s="18"/>
      <c r="L611" s="88">
        <f>SUM(F611:K611)</f>
        <v>8054.8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7240.5</v>
      </c>
      <c r="G614" s="108">
        <f t="shared" si="49"/>
        <v>553.89</v>
      </c>
      <c r="H614" s="108">
        <f t="shared" si="49"/>
        <v>0</v>
      </c>
      <c r="I614" s="108">
        <f t="shared" si="49"/>
        <v>260.41000000000003</v>
      </c>
      <c r="J614" s="108">
        <f t="shared" si="49"/>
        <v>0</v>
      </c>
      <c r="K614" s="108">
        <f t="shared" si="49"/>
        <v>0</v>
      </c>
      <c r="L614" s="89">
        <f t="shared" si="49"/>
        <v>8054.8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135793.91</v>
      </c>
      <c r="H617" s="109">
        <f>SUM(F52)</f>
        <v>135793.91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664.3</v>
      </c>
      <c r="H618" s="109">
        <f>SUM(G52)</f>
        <v>664.3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6741.28</v>
      </c>
      <c r="H619" s="109">
        <f>SUM(H52)</f>
        <v>6741.28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403212.62</v>
      </c>
      <c r="H621" s="109">
        <f>SUM(J52)</f>
        <v>403212.62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117341.2</v>
      </c>
      <c r="H622" s="109">
        <f>F476</f>
        <v>117341.20000000019</v>
      </c>
      <c r="I622" s="121" t="s">
        <v>101</v>
      </c>
      <c r="J622" s="109">
        <f t="shared" ref="J622:J655" si="50">G622-H622</f>
        <v>-1.8917489796876907E-10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2527.4499999999998</v>
      </c>
      <c r="H624" s="109">
        <f>H476</f>
        <v>2527.4500000000007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403212.62</v>
      </c>
      <c r="H626" s="109">
        <f>J476</f>
        <v>403212.62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2335087.29</v>
      </c>
      <c r="H627" s="104">
        <f>SUM(F468)</f>
        <v>2335087.29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22340.67</v>
      </c>
      <c r="H628" s="104">
        <f>SUM(G468)</f>
        <v>22340.67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19460.830000000002</v>
      </c>
      <c r="H629" s="104">
        <f>SUM(H468)</f>
        <v>19460.830000000002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30758.799999999999</v>
      </c>
      <c r="H631" s="104">
        <f>SUM(J468)</f>
        <v>30758.799999999999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2300342.8199999998</v>
      </c>
      <c r="H632" s="104">
        <f>SUM(F472)</f>
        <v>2300342.8199999998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20236.620000000003</v>
      </c>
      <c r="H633" s="104">
        <f>SUM(H472)</f>
        <v>20236.62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11188.22</v>
      </c>
      <c r="H634" s="104">
        <f>I369</f>
        <v>11188.22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22340.67</v>
      </c>
      <c r="H635" s="104">
        <f>SUM(G472)</f>
        <v>22340.67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30758.799999999999</v>
      </c>
      <c r="H637" s="164">
        <f>SUM(J468)</f>
        <v>30758.799999999999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4143.32</v>
      </c>
      <c r="H638" s="164">
        <f>SUM(J472)</f>
        <v>4143.32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98104.08</v>
      </c>
      <c r="H639" s="104">
        <f>SUM(F461)</f>
        <v>98104.08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305108.53999999998</v>
      </c>
      <c r="H640" s="104">
        <f>SUM(G461)</f>
        <v>305108.53999999998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403212.62</v>
      </c>
      <c r="H642" s="104">
        <f>SUM(I461)</f>
        <v>403212.62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2758.8</v>
      </c>
      <c r="H644" s="104">
        <f>H408</f>
        <v>2758.8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28000</v>
      </c>
      <c r="H645" s="104">
        <f>G408</f>
        <v>28000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30758.799999999999</v>
      </c>
      <c r="H646" s="104">
        <f>L408</f>
        <v>30758.799999999999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146154.63</v>
      </c>
      <c r="H647" s="104">
        <f>L208+L226+L244</f>
        <v>146154.63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15878.33</v>
      </c>
      <c r="H648" s="104">
        <f>(J257+J338)-(J255+J336)</f>
        <v>15878.33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74719.03</v>
      </c>
      <c r="H649" s="104">
        <f>H598</f>
        <v>74719.030000000013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28574.240000000002</v>
      </c>
      <c r="H650" s="104">
        <f>I598</f>
        <v>28574.240000000002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42861.36</v>
      </c>
      <c r="H651" s="104">
        <f>J598</f>
        <v>42861.36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9304.76</v>
      </c>
      <c r="H652" s="104">
        <f>K263+K345</f>
        <v>9304.76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28000</v>
      </c>
      <c r="H655" s="104">
        <f>K266+K347</f>
        <v>28000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1174747.5</v>
      </c>
      <c r="G660" s="19">
        <f>(L229+L309+L359)</f>
        <v>405030.49000000005</v>
      </c>
      <c r="H660" s="19">
        <f>(L247+L328+L360)</f>
        <v>725837.36</v>
      </c>
      <c r="I660" s="19">
        <f>SUM(F660:H660)</f>
        <v>2305615.35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8986.9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8986.9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74719.03</v>
      </c>
      <c r="G662" s="19">
        <f>(L226+L306)-(J226+J306)</f>
        <v>28574.240000000002</v>
      </c>
      <c r="H662" s="19">
        <f>(L244+L325)-(J244+J325)</f>
        <v>42861.36</v>
      </c>
      <c r="I662" s="19">
        <f>SUM(F662:H662)</f>
        <v>146154.63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29950.739999999998</v>
      </c>
      <c r="G663" s="199">
        <f>SUM(G575:G587)+SUM(I602:I604)+L612</f>
        <v>351481.51</v>
      </c>
      <c r="H663" s="199">
        <f>SUM(H575:H587)+SUM(J602:J604)+L613</f>
        <v>632413</v>
      </c>
      <c r="I663" s="19">
        <f>SUM(F663:H663)</f>
        <v>1013845.25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1061090.83</v>
      </c>
      <c r="G664" s="19">
        <f>G660-SUM(G661:G663)</f>
        <v>24974.740000000049</v>
      </c>
      <c r="H664" s="19">
        <f>H660-SUM(H661:H663)</f>
        <v>50563</v>
      </c>
      <c r="I664" s="19">
        <f>I660-SUM(I661:I663)</f>
        <v>1136628.57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39.130000000000003</v>
      </c>
      <c r="G665" s="248"/>
      <c r="H665" s="248"/>
      <c r="I665" s="19">
        <f>SUM(F665:H665)</f>
        <v>39.130000000000003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27117.07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29047.5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-24974.74</v>
      </c>
      <c r="H669" s="18">
        <v>-50563</v>
      </c>
      <c r="I669" s="19">
        <f>SUM(F669:H669)</f>
        <v>-75537.740000000005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27117.07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27117.07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6" sqref="C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JACKSON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322890.96000000002</v>
      </c>
      <c r="C9" s="229">
        <f>'DOE25'!G197+'DOE25'!G215+'DOE25'!G233+'DOE25'!G276+'DOE25'!G295+'DOE25'!G314</f>
        <v>199724.34</v>
      </c>
    </row>
    <row r="10" spans="1:3" x14ac:dyDescent="0.2">
      <c r="A10" t="s">
        <v>778</v>
      </c>
      <c r="B10" s="240">
        <v>292633.3</v>
      </c>
      <c r="C10" s="240">
        <v>168790.5</v>
      </c>
    </row>
    <row r="11" spans="1:3" x14ac:dyDescent="0.2">
      <c r="A11" t="s">
        <v>779</v>
      </c>
      <c r="B11" s="240">
        <v>22507.74</v>
      </c>
      <c r="C11" s="240">
        <v>30130.240000000002</v>
      </c>
    </row>
    <row r="12" spans="1:3" x14ac:dyDescent="0.2">
      <c r="A12" t="s">
        <v>780</v>
      </c>
      <c r="B12" s="240">
        <v>7749.92</v>
      </c>
      <c r="C12" s="240">
        <v>803.6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322890.95999999996</v>
      </c>
      <c r="C13" s="231">
        <f>SUM(C10:C12)</f>
        <v>199724.34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15183.24</v>
      </c>
      <c r="C18" s="229">
        <f>'DOE25'!G198+'DOE25'!G216+'DOE25'!G234+'DOE25'!G277+'DOE25'!G296+'DOE25'!G315</f>
        <v>1446.58</v>
      </c>
    </row>
    <row r="19" spans="1:3" x14ac:dyDescent="0.2">
      <c r="A19" t="s">
        <v>778</v>
      </c>
      <c r="B19" s="240">
        <v>15183.24</v>
      </c>
      <c r="C19" s="240">
        <v>1446.58</v>
      </c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15183.24</v>
      </c>
      <c r="C22" s="231">
        <f>SUM(C19:C21)</f>
        <v>1446.58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10740.5</v>
      </c>
      <c r="C36" s="235">
        <f>'DOE25'!G200+'DOE25'!G218+'DOE25'!G236+'DOE25'!G279+'DOE25'!G298+'DOE25'!G317</f>
        <v>926.48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10740.5</v>
      </c>
      <c r="C39" s="240">
        <v>926.48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10740.5</v>
      </c>
      <c r="C40" s="231">
        <f>SUM(C37:C39)</f>
        <v>926.48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JACKSON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1582857.29</v>
      </c>
      <c r="D5" s="20">
        <f>SUM('DOE25'!L197:L200)+SUM('DOE25'!L215:L218)+SUM('DOE25'!L233:L236)-F5-G5</f>
        <v>1575264.03</v>
      </c>
      <c r="E5" s="243"/>
      <c r="F5" s="255">
        <f>SUM('DOE25'!J197:J200)+SUM('DOE25'!J215:J218)+SUM('DOE25'!J233:J236)</f>
        <v>7593.26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55856.34</v>
      </c>
      <c r="D6" s="20">
        <f>'DOE25'!L202+'DOE25'!L220+'DOE25'!L238-F6-G6</f>
        <v>55856.34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30499.89</v>
      </c>
      <c r="D7" s="20">
        <f>'DOE25'!L203+'DOE25'!L221+'DOE25'!L239-F7-G7</f>
        <v>30499.89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77565.170000000013</v>
      </c>
      <c r="D8" s="243"/>
      <c r="E8" s="20">
        <f>'DOE25'!L204+'DOE25'!L222+'DOE25'!L240-F8-G8-D9-D11</f>
        <v>75514.080000000016</v>
      </c>
      <c r="F8" s="255">
        <f>'DOE25'!J204+'DOE25'!J222+'DOE25'!J240</f>
        <v>0</v>
      </c>
      <c r="G8" s="53">
        <f>'DOE25'!K204+'DOE25'!K222+'DOE25'!K240</f>
        <v>2051.09</v>
      </c>
      <c r="H8" s="259"/>
    </row>
    <row r="9" spans="1:9" x14ac:dyDescent="0.2">
      <c r="A9" s="32">
        <v>2310</v>
      </c>
      <c r="B9" t="s">
        <v>817</v>
      </c>
      <c r="C9" s="245">
        <f t="shared" si="0"/>
        <v>21911.62</v>
      </c>
      <c r="D9" s="244">
        <v>21911.62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6190</v>
      </c>
      <c r="D10" s="243"/>
      <c r="E10" s="244">
        <v>6190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28303.83</v>
      </c>
      <c r="D11" s="244">
        <v>28303.83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159497.45000000001</v>
      </c>
      <c r="D12" s="20">
        <f>'DOE25'!L205+'DOE25'!L223+'DOE25'!L241-F12-G12</f>
        <v>158923.45000000001</v>
      </c>
      <c r="E12" s="243"/>
      <c r="F12" s="255">
        <f>'DOE25'!J205+'DOE25'!J223+'DOE25'!J241</f>
        <v>0</v>
      </c>
      <c r="G12" s="53">
        <f>'DOE25'!K205+'DOE25'!K223+'DOE25'!K241</f>
        <v>574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160104.18000000002</v>
      </c>
      <c r="D14" s="20">
        <f>'DOE25'!L207+'DOE25'!L225+'DOE25'!L243-F14-G14</f>
        <v>159581.18000000002</v>
      </c>
      <c r="E14" s="243"/>
      <c r="F14" s="255">
        <f>'DOE25'!J207+'DOE25'!J225+'DOE25'!J243</f>
        <v>523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146154.63</v>
      </c>
      <c r="D15" s="20">
        <f>'DOE25'!L208+'DOE25'!L226+'DOE25'!L244-F15-G15</f>
        <v>146154.63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287.66000000000003</v>
      </c>
      <c r="D16" s="243"/>
      <c r="E16" s="20">
        <f>'DOE25'!L209+'DOE25'!L227+'DOE25'!L245-F16-G16</f>
        <v>287.66000000000003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11152.449999999999</v>
      </c>
      <c r="D29" s="20">
        <f>'DOE25'!L358+'DOE25'!L359+'DOE25'!L360-'DOE25'!I367-F29-G29</f>
        <v>11152.449999999999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20236.620000000003</v>
      </c>
      <c r="D31" s="20">
        <f>'DOE25'!L290+'DOE25'!L309+'DOE25'!L328+'DOE25'!L333+'DOE25'!L334+'DOE25'!L335-F31-G31</f>
        <v>12474.550000000003</v>
      </c>
      <c r="E31" s="243"/>
      <c r="F31" s="255">
        <f>'DOE25'!J290+'DOE25'!J309+'DOE25'!J328+'DOE25'!J333+'DOE25'!J334+'DOE25'!J335</f>
        <v>7762.07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2200121.9700000002</v>
      </c>
      <c r="E33" s="246">
        <f>SUM(E5:E31)</f>
        <v>81991.74000000002</v>
      </c>
      <c r="F33" s="246">
        <f>SUM(F5:F31)</f>
        <v>15878.33</v>
      </c>
      <c r="G33" s="246">
        <f>SUM(G5:G31)</f>
        <v>2625.09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81991.74000000002</v>
      </c>
      <c r="E35" s="249"/>
    </row>
    <row r="36" spans="2:8" ht="12" thickTop="1" x14ac:dyDescent="0.2">
      <c r="B36" t="s">
        <v>814</v>
      </c>
      <c r="D36" s="20">
        <f>D33</f>
        <v>2200121.9700000002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B49" sqref="B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JACKSON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130435.78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403212.62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4878.13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664.3</v>
      </c>
      <c r="E12" s="95">
        <f>'DOE25'!H13</f>
        <v>6741.28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480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135793.91</v>
      </c>
      <c r="D18" s="41">
        <f>SUM(D8:D17)</f>
        <v>664.3</v>
      </c>
      <c r="E18" s="41">
        <f>SUM(E8:E17)</f>
        <v>6741.28</v>
      </c>
      <c r="F18" s="41">
        <f>SUM(F8:F17)</f>
        <v>0</v>
      </c>
      <c r="G18" s="41">
        <f>SUM(G8:G17)</f>
        <v>403212.62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664.3</v>
      </c>
      <c r="E22" s="95">
        <f>'DOE25'!H23</f>
        <v>4213.83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1453.91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2083.56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14915.24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18452.71</v>
      </c>
      <c r="D31" s="41">
        <f>SUM(D21:D30)</f>
        <v>664.3</v>
      </c>
      <c r="E31" s="41">
        <f>SUM(E21:E30)</f>
        <v>4213.83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2527.4499999999998</v>
      </c>
      <c r="F47" s="95">
        <f>'DOE25'!I48</f>
        <v>0</v>
      </c>
      <c r="G47" s="95">
        <f>'DOE25'!J48</f>
        <v>403212.62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92341.2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117341.2</v>
      </c>
      <c r="D50" s="41">
        <f>SUM(D34:D49)</f>
        <v>0</v>
      </c>
      <c r="E50" s="41">
        <f>SUM(E34:E49)</f>
        <v>2527.4499999999998</v>
      </c>
      <c r="F50" s="41">
        <f>SUM(F34:F49)</f>
        <v>0</v>
      </c>
      <c r="G50" s="41">
        <f>SUM(G34:G49)</f>
        <v>403212.62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135793.91</v>
      </c>
      <c r="D51" s="41">
        <f>D50+D31</f>
        <v>664.3</v>
      </c>
      <c r="E51" s="41">
        <f>E50+E31</f>
        <v>6741.28</v>
      </c>
      <c r="F51" s="41">
        <f>F50+F31</f>
        <v>0</v>
      </c>
      <c r="G51" s="41">
        <f>G50+G31</f>
        <v>403212.62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1298566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6740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2758.8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8986.9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25696.75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32436.75</v>
      </c>
      <c r="D62" s="130">
        <f>SUM(D57:D61)</f>
        <v>8986.9</v>
      </c>
      <c r="E62" s="130">
        <f>SUM(E57:E61)</f>
        <v>0</v>
      </c>
      <c r="F62" s="130">
        <f>SUM(F57:F61)</f>
        <v>0</v>
      </c>
      <c r="G62" s="130">
        <f>SUM(G57:G61)</f>
        <v>2758.8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1331002.75</v>
      </c>
      <c r="D63" s="22">
        <f>D56+D62</f>
        <v>8986.9</v>
      </c>
      <c r="E63" s="22">
        <f>E56+E62</f>
        <v>0</v>
      </c>
      <c r="F63" s="22">
        <f>F56+F62</f>
        <v>0</v>
      </c>
      <c r="G63" s="22">
        <f>G56+G62</f>
        <v>2758.8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71251.820000000007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907943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979194.82000000007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185.51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185.51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979194.82000000007</v>
      </c>
      <c r="D81" s="130">
        <f>SUM(D79:D80)+D78+D70</f>
        <v>185.51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15210.86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4493.45</v>
      </c>
      <c r="D88" s="95">
        <f>SUM('DOE25'!G153:G161)</f>
        <v>3863.5</v>
      </c>
      <c r="E88" s="95">
        <f>SUM('DOE25'!H153:H161)</f>
        <v>4249.97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16252.95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20746.400000000001</v>
      </c>
      <c r="D91" s="131">
        <f>SUM(D85:D90)</f>
        <v>3863.5</v>
      </c>
      <c r="E91" s="131">
        <f>SUM(E85:E90)</f>
        <v>19460.830000000002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9304.76</v>
      </c>
      <c r="E96" s="95">
        <f>'DOE25'!H179</f>
        <v>0</v>
      </c>
      <c r="F96" s="95">
        <f>'DOE25'!I179</f>
        <v>0</v>
      </c>
      <c r="G96" s="95">
        <f>'DOE25'!J179</f>
        <v>28000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4143.32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4143.32</v>
      </c>
      <c r="D103" s="86">
        <f>SUM(D93:D102)</f>
        <v>9304.76</v>
      </c>
      <c r="E103" s="86">
        <f>SUM(E93:E102)</f>
        <v>0</v>
      </c>
      <c r="F103" s="86">
        <f>SUM(F93:F102)</f>
        <v>0</v>
      </c>
      <c r="G103" s="86">
        <f>SUM(G93:G102)</f>
        <v>28000</v>
      </c>
    </row>
    <row r="104" spans="1:7" ht="12.75" thickTop="1" thickBot="1" x14ac:dyDescent="0.25">
      <c r="A104" s="33" t="s">
        <v>764</v>
      </c>
      <c r="C104" s="86">
        <f>C63+C81+C91+C103</f>
        <v>2335087.29</v>
      </c>
      <c r="D104" s="86">
        <f>D63+D81+D91+D103</f>
        <v>22340.67</v>
      </c>
      <c r="E104" s="86">
        <f>E63+E81+E91+E103</f>
        <v>19460.830000000002</v>
      </c>
      <c r="F104" s="86">
        <f>F63+F81+F91+F103</f>
        <v>0</v>
      </c>
      <c r="G104" s="86">
        <f>G63+G81+G103</f>
        <v>30758.799999999999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1534114.1400000001</v>
      </c>
      <c r="D109" s="24" t="s">
        <v>288</v>
      </c>
      <c r="E109" s="95">
        <f>('DOE25'!L276)+('DOE25'!L295)+('DOE25'!L314)</f>
        <v>15210.86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27358.57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21384.58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1582857.2900000003</v>
      </c>
      <c r="D115" s="86">
        <f>SUM(D109:D114)</f>
        <v>0</v>
      </c>
      <c r="E115" s="86">
        <f>SUM(E109:E114)</f>
        <v>15210.86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55856.34</v>
      </c>
      <c r="D118" s="24" t="s">
        <v>288</v>
      </c>
      <c r="E118" s="95">
        <f>+('DOE25'!L281)+('DOE25'!L300)+('DOE25'!L319)</f>
        <v>5025.76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30499.89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127780.62000000001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159497.45000000001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160104.18000000002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146154.63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287.66000000000003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22340.67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680180.77000000014</v>
      </c>
      <c r="D128" s="86">
        <f>SUM(D118:D127)</f>
        <v>22340.67</v>
      </c>
      <c r="E128" s="86">
        <f>SUM(E118:E127)</f>
        <v>5025.76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4143.32</v>
      </c>
    </row>
    <row r="135" spans="1:7" x14ac:dyDescent="0.2">
      <c r="A135" t="s">
        <v>233</v>
      </c>
      <c r="B135" s="32" t="s">
        <v>234</v>
      </c>
      <c r="C135" s="95">
        <f>'DOE25'!L263</f>
        <v>9304.76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10727.75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20031.05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-2758.7999999999993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37304.759999999995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4143.32</v>
      </c>
    </row>
    <row r="145" spans="1:9" ht="12.75" thickTop="1" thickBot="1" x14ac:dyDescent="0.25">
      <c r="A145" s="33" t="s">
        <v>244</v>
      </c>
      <c r="C145" s="86">
        <f>(C115+C128+C144)</f>
        <v>2300342.8200000003</v>
      </c>
      <c r="D145" s="86">
        <f>(D115+D128+D144)</f>
        <v>22340.67</v>
      </c>
      <c r="E145" s="86">
        <f>(E115+E128+E144)</f>
        <v>20236.620000000003</v>
      </c>
      <c r="F145" s="86">
        <f>(F115+F128+F144)</f>
        <v>0</v>
      </c>
      <c r="G145" s="86">
        <f>(G115+G128+G144)</f>
        <v>4143.32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JACKSON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27117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27117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1549325</v>
      </c>
      <c r="D10" s="182">
        <f>ROUND((C10/$C$28)*100,1)</f>
        <v>67.5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27359</v>
      </c>
      <c r="D11" s="182">
        <f>ROUND((C11/$C$28)*100,1)</f>
        <v>1.2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21385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60882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30500</v>
      </c>
      <c r="D16" s="182">
        <f t="shared" si="0"/>
        <v>1.3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128068</v>
      </c>
      <c r="D17" s="182">
        <f t="shared" si="0"/>
        <v>5.6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159497</v>
      </c>
      <c r="D18" s="182">
        <f t="shared" si="0"/>
        <v>6.9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160104</v>
      </c>
      <c r="D20" s="182">
        <f t="shared" si="0"/>
        <v>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146155</v>
      </c>
      <c r="D21" s="182">
        <f t="shared" si="0"/>
        <v>6.4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13354.1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2296629.1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2296629.1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1298566</v>
      </c>
      <c r="D35" s="182">
        <f t="shared" ref="D35:D40" si="1">ROUND((C35/$C$41)*100,1)</f>
        <v>55.1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35195.550000000047</v>
      </c>
      <c r="D36" s="182">
        <f t="shared" si="1"/>
        <v>1.5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979195</v>
      </c>
      <c r="D37" s="182">
        <f t="shared" si="1"/>
        <v>41.5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186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44071</v>
      </c>
      <c r="D39" s="182">
        <f t="shared" si="1"/>
        <v>1.9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2357213.5499999998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JACKSON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2017-08-30T14:00:30Z</cp:lastPrinted>
  <dcterms:created xsi:type="dcterms:W3CDTF">1997-12-04T19:04:30Z</dcterms:created>
  <dcterms:modified xsi:type="dcterms:W3CDTF">2017-11-29T17:34:35Z</dcterms:modified>
</cp:coreProperties>
</file>