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I225" i="1" l="1"/>
  <c r="I222" i="1"/>
  <c r="I240" i="1"/>
  <c r="H216" i="1"/>
  <c r="F216" i="1"/>
  <c r="F207" i="1"/>
  <c r="H207" i="1"/>
  <c r="H198" i="1"/>
  <c r="F198" i="1"/>
  <c r="C37" i="12"/>
  <c r="B37" i="12"/>
  <c r="C39" i="12"/>
  <c r="B39" i="12"/>
  <c r="C20" i="12"/>
  <c r="C19" i="12"/>
  <c r="C21" i="12"/>
  <c r="B12" i="12"/>
  <c r="H244" i="1"/>
  <c r="H226" i="1"/>
  <c r="H208" i="1"/>
  <c r="H595" i="1"/>
  <c r="H245" i="1"/>
  <c r="J243" i="1"/>
  <c r="G239" i="1"/>
  <c r="J245" i="1"/>
  <c r="I245" i="1"/>
  <c r="I243" i="1"/>
  <c r="H243" i="1"/>
  <c r="G243" i="1"/>
  <c r="F243" i="1"/>
  <c r="H241" i="1"/>
  <c r="I239" i="1"/>
  <c r="H239" i="1"/>
  <c r="F239" i="1"/>
  <c r="I238" i="1"/>
  <c r="H238" i="1"/>
  <c r="G238" i="1"/>
  <c r="F238" i="1"/>
  <c r="J234" i="1"/>
  <c r="I234" i="1"/>
  <c r="H234" i="1"/>
  <c r="G234" i="1"/>
  <c r="F234" i="1"/>
  <c r="H233" i="1"/>
  <c r="G233" i="1"/>
  <c r="G225" i="1"/>
  <c r="I227" i="1"/>
  <c r="J225" i="1"/>
  <c r="H225" i="1"/>
  <c r="F225" i="1"/>
  <c r="H223" i="1"/>
  <c r="I221" i="1"/>
  <c r="G221" i="1"/>
  <c r="F221" i="1"/>
  <c r="I220" i="1"/>
  <c r="H220" i="1"/>
  <c r="G220" i="1"/>
  <c r="F220" i="1"/>
  <c r="J216" i="1"/>
  <c r="I216" i="1"/>
  <c r="G216" i="1"/>
  <c r="H215" i="1"/>
  <c r="G215" i="1"/>
  <c r="J207" i="1"/>
  <c r="G207" i="1"/>
  <c r="I207" i="1"/>
  <c r="G197" i="1"/>
  <c r="F206" i="1"/>
  <c r="H209" i="1"/>
  <c r="G203" i="1"/>
  <c r="G198" i="1"/>
  <c r="I209" i="1"/>
  <c r="H205" i="1"/>
  <c r="I203" i="1"/>
  <c r="F203" i="1"/>
  <c r="I202" i="1"/>
  <c r="H202" i="1"/>
  <c r="G202" i="1"/>
  <c r="F202" i="1"/>
  <c r="J198" i="1"/>
  <c r="I198" i="1"/>
  <c r="H197" i="1"/>
  <c r="F197" i="1"/>
  <c r="G521" i="1" l="1"/>
  <c r="G533" i="1"/>
  <c r="F533" i="1"/>
  <c r="G532" i="1"/>
  <c r="F532" i="1"/>
  <c r="G531" i="1"/>
  <c r="F531" i="1"/>
  <c r="G523" i="1"/>
  <c r="F523" i="1"/>
  <c r="G522" i="1"/>
  <c r="F522" i="1"/>
  <c r="F521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J523" i="1"/>
  <c r="I523" i="1"/>
  <c r="H523" i="1"/>
  <c r="J522" i="1"/>
  <c r="I522" i="1"/>
  <c r="H522" i="1"/>
  <c r="J521" i="1"/>
  <c r="I521" i="1"/>
  <c r="H521" i="1"/>
  <c r="H426" i="1" l="1"/>
  <c r="H400" i="1"/>
  <c r="H403" i="1"/>
  <c r="H389" i="1"/>
  <c r="H397" i="1"/>
  <c r="G277" i="1"/>
  <c r="G315" i="1"/>
  <c r="G296" i="1"/>
  <c r="F315" i="1"/>
  <c r="F296" i="1"/>
  <c r="F277" i="1"/>
  <c r="G281" i="1"/>
  <c r="F281" i="1"/>
  <c r="H279" i="1"/>
  <c r="F279" i="1"/>
  <c r="G276" i="1"/>
  <c r="F276" i="1"/>
  <c r="J297" i="1"/>
  <c r="I297" i="1"/>
  <c r="F110" i="1" l="1"/>
  <c r="F2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21" i="2" s="1"/>
  <c r="F14" i="13"/>
  <c r="G14" i="13"/>
  <c r="L207" i="1"/>
  <c r="L225" i="1"/>
  <c r="L243" i="1"/>
  <c r="F15" i="13"/>
  <c r="G15" i="13"/>
  <c r="L208" i="1"/>
  <c r="F662" i="1" s="1"/>
  <c r="L226" i="1"/>
  <c r="L244" i="1"/>
  <c r="G651" i="1" s="1"/>
  <c r="F17" i="13"/>
  <c r="G17" i="13"/>
  <c r="D17" i="13" s="1"/>
  <c r="C17" i="13" s="1"/>
  <c r="L251" i="1"/>
  <c r="F18" i="13"/>
  <c r="G18" i="13"/>
  <c r="L252" i="1"/>
  <c r="C114" i="2" s="1"/>
  <c r="F19" i="13"/>
  <c r="G19" i="13"/>
  <c r="L253" i="1"/>
  <c r="D19" i="13" s="1"/>
  <c r="C19" i="13" s="1"/>
  <c r="F29" i="13"/>
  <c r="G29" i="13"/>
  <c r="L358" i="1"/>
  <c r="L359" i="1"/>
  <c r="L360" i="1"/>
  <c r="G661" i="1" s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E85" i="2" s="1"/>
  <c r="H162" i="1"/>
  <c r="H169" i="1" s="1"/>
  <c r="I147" i="1"/>
  <c r="I162" i="1"/>
  <c r="L250" i="1"/>
  <c r="L332" i="1"/>
  <c r="L254" i="1"/>
  <c r="L268" i="1"/>
  <c r="C26" i="10" s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1" i="2"/>
  <c r="C113" i="2"/>
  <c r="E113" i="2"/>
  <c r="D115" i="2"/>
  <c r="F115" i="2"/>
  <c r="G115" i="2"/>
  <c r="E120" i="2"/>
  <c r="E122" i="2"/>
  <c r="E123" i="2"/>
  <c r="E124" i="2"/>
  <c r="E125" i="2"/>
  <c r="F128" i="2"/>
  <c r="G128" i="2"/>
  <c r="F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J643" i="1" s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I452" i="1"/>
  <c r="F460" i="1"/>
  <c r="G460" i="1"/>
  <c r="H460" i="1"/>
  <c r="H461" i="1" s="1"/>
  <c r="H641" i="1" s="1"/>
  <c r="F461" i="1"/>
  <c r="G461" i="1"/>
  <c r="F470" i="1"/>
  <c r="G470" i="1"/>
  <c r="H470" i="1"/>
  <c r="I470" i="1"/>
  <c r="J470" i="1"/>
  <c r="F474" i="1"/>
  <c r="F476" i="1" s="1"/>
  <c r="H622" i="1" s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J571" i="1" s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J639" i="1" s="1"/>
  <c r="H640" i="1"/>
  <c r="G643" i="1"/>
  <c r="G644" i="1"/>
  <c r="G645" i="1"/>
  <c r="G652" i="1"/>
  <c r="H652" i="1"/>
  <c r="G653" i="1"/>
  <c r="H653" i="1"/>
  <c r="G654" i="1"/>
  <c r="H654" i="1"/>
  <c r="H655" i="1"/>
  <c r="J655" i="1" s="1"/>
  <c r="L351" i="1"/>
  <c r="C91" i="2"/>
  <c r="D50" i="2"/>
  <c r="G62" i="2"/>
  <c r="K605" i="1"/>
  <c r="G648" i="1" s="1"/>
  <c r="I169" i="1"/>
  <c r="J476" i="1"/>
  <c r="H626" i="1" s="1"/>
  <c r="I476" i="1"/>
  <c r="H625" i="1" s="1"/>
  <c r="J140" i="1"/>
  <c r="I552" i="1"/>
  <c r="G22" i="2"/>
  <c r="H140" i="1"/>
  <c r="L401" i="1"/>
  <c r="C139" i="2" s="1"/>
  <c r="G192" i="1"/>
  <c r="J636" i="1"/>
  <c r="G36" i="2"/>
  <c r="A13" i="12" l="1"/>
  <c r="L270" i="1"/>
  <c r="H662" i="1"/>
  <c r="C122" i="2"/>
  <c r="E16" i="13"/>
  <c r="C16" i="13" s="1"/>
  <c r="C19" i="10"/>
  <c r="C120" i="2"/>
  <c r="D91" i="2"/>
  <c r="D81" i="2"/>
  <c r="J623" i="1"/>
  <c r="L614" i="1"/>
  <c r="K598" i="1"/>
  <c r="G647" i="1" s="1"/>
  <c r="D18" i="2"/>
  <c r="E118" i="2"/>
  <c r="J622" i="1"/>
  <c r="I52" i="1"/>
  <c r="H620" i="1" s="1"/>
  <c r="F78" i="2"/>
  <c r="F81" i="2" s="1"/>
  <c r="E31" i="2"/>
  <c r="F18" i="2"/>
  <c r="C132" i="2"/>
  <c r="C17" i="10"/>
  <c r="D18" i="13"/>
  <c r="C18" i="13" s="1"/>
  <c r="E13" i="13"/>
  <c r="C13" i="13" s="1"/>
  <c r="F22" i="13"/>
  <c r="C22" i="13" s="1"/>
  <c r="C29" i="10"/>
  <c r="I571" i="1"/>
  <c r="H52" i="1"/>
  <c r="H619" i="1" s="1"/>
  <c r="J619" i="1" s="1"/>
  <c r="F112" i="1"/>
  <c r="G408" i="1"/>
  <c r="H645" i="1" s="1"/>
  <c r="J645" i="1" s="1"/>
  <c r="H112" i="1"/>
  <c r="H193" i="1" s="1"/>
  <c r="G629" i="1" s="1"/>
  <c r="J629" i="1" s="1"/>
  <c r="G161" i="2"/>
  <c r="C142" i="2"/>
  <c r="E78" i="2"/>
  <c r="E81" i="2" s="1"/>
  <c r="E62" i="2"/>
  <c r="E63" i="2" s="1"/>
  <c r="D31" i="2"/>
  <c r="D51" i="2" s="1"/>
  <c r="J625" i="1"/>
  <c r="J651" i="1"/>
  <c r="L544" i="1"/>
  <c r="L433" i="1"/>
  <c r="L419" i="1"/>
  <c r="K338" i="1"/>
  <c r="K352" i="1" s="1"/>
  <c r="L393" i="1"/>
  <c r="C138" i="2" s="1"/>
  <c r="I369" i="1"/>
  <c r="H634" i="1" s="1"/>
  <c r="C21" i="10"/>
  <c r="C125" i="2"/>
  <c r="C78" i="2"/>
  <c r="C81" i="2" s="1"/>
  <c r="G81" i="2"/>
  <c r="L565" i="1"/>
  <c r="F571" i="1"/>
  <c r="L570" i="1"/>
  <c r="L539" i="1"/>
  <c r="J552" i="1"/>
  <c r="J545" i="1"/>
  <c r="L529" i="1"/>
  <c r="G552" i="1"/>
  <c r="K550" i="1"/>
  <c r="I545" i="1"/>
  <c r="H545" i="1"/>
  <c r="K551" i="1"/>
  <c r="F552" i="1"/>
  <c r="K545" i="1"/>
  <c r="G545" i="1"/>
  <c r="K549" i="1"/>
  <c r="L524" i="1"/>
  <c r="H552" i="1"/>
  <c r="L534" i="1"/>
  <c r="K503" i="1"/>
  <c r="K500" i="1"/>
  <c r="H476" i="1"/>
  <c r="H624" i="1" s="1"/>
  <c r="J624" i="1" s="1"/>
  <c r="J641" i="1"/>
  <c r="J640" i="1"/>
  <c r="I460" i="1"/>
  <c r="I461" i="1" s="1"/>
  <c r="H642" i="1" s="1"/>
  <c r="I446" i="1"/>
  <c r="G642" i="1" s="1"/>
  <c r="H408" i="1"/>
  <c r="H644" i="1" s="1"/>
  <c r="J644" i="1" s="1"/>
  <c r="I408" i="1"/>
  <c r="J634" i="1"/>
  <c r="H661" i="1"/>
  <c r="D29" i="13"/>
  <c r="C29" i="13" s="1"/>
  <c r="D127" i="2"/>
  <c r="D128" i="2" s="1"/>
  <c r="D145" i="2" s="1"/>
  <c r="L362" i="1"/>
  <c r="C27" i="10" s="1"/>
  <c r="F661" i="1"/>
  <c r="L309" i="1"/>
  <c r="E119" i="2"/>
  <c r="H338" i="1"/>
  <c r="H352" i="1" s="1"/>
  <c r="C16" i="10"/>
  <c r="C11" i="10"/>
  <c r="G338" i="1"/>
  <c r="G352" i="1" s="1"/>
  <c r="F338" i="1"/>
  <c r="F352" i="1" s="1"/>
  <c r="E110" i="2"/>
  <c r="E115" i="2" s="1"/>
  <c r="L290" i="1"/>
  <c r="H25" i="13"/>
  <c r="E8" i="13"/>
  <c r="C8" i="13" s="1"/>
  <c r="C123" i="2"/>
  <c r="D14" i="13"/>
  <c r="C14" i="13" s="1"/>
  <c r="C18" i="10"/>
  <c r="L247" i="1"/>
  <c r="H660" i="1" s="1"/>
  <c r="C111" i="2"/>
  <c r="C110" i="2"/>
  <c r="C12" i="10"/>
  <c r="K257" i="1"/>
  <c r="K271" i="1" s="1"/>
  <c r="J257" i="1"/>
  <c r="J271" i="1" s="1"/>
  <c r="I257" i="1"/>
  <c r="I271" i="1" s="1"/>
  <c r="G650" i="1"/>
  <c r="J650" i="1" s="1"/>
  <c r="G662" i="1"/>
  <c r="C124" i="2"/>
  <c r="H257" i="1"/>
  <c r="H271" i="1" s="1"/>
  <c r="L229" i="1"/>
  <c r="G257" i="1"/>
  <c r="G271" i="1" s="1"/>
  <c r="C20" i="10"/>
  <c r="D12" i="13"/>
  <c r="C12" i="13" s="1"/>
  <c r="C13" i="10"/>
  <c r="F257" i="1"/>
  <c r="F271" i="1" s="1"/>
  <c r="C10" i="10"/>
  <c r="D6" i="13"/>
  <c r="C6" i="13" s="1"/>
  <c r="D15" i="13"/>
  <c r="C15" i="13" s="1"/>
  <c r="G649" i="1"/>
  <c r="J649" i="1" s="1"/>
  <c r="H647" i="1"/>
  <c r="D7" i="13"/>
  <c r="C7" i="13" s="1"/>
  <c r="C15" i="10"/>
  <c r="C119" i="2"/>
  <c r="C118" i="2"/>
  <c r="C109" i="2"/>
  <c r="D5" i="13"/>
  <c r="C5" i="13" s="1"/>
  <c r="L211" i="1"/>
  <c r="C112" i="2"/>
  <c r="C62" i="2"/>
  <c r="C63" i="2" s="1"/>
  <c r="C35" i="10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G63" i="2"/>
  <c r="J618" i="1"/>
  <c r="G42" i="2"/>
  <c r="G50" i="2" s="1"/>
  <c r="G51" i="2" s="1"/>
  <c r="J51" i="1"/>
  <c r="G16" i="2"/>
  <c r="G18" i="2" s="1"/>
  <c r="J19" i="1"/>
  <c r="G621" i="1" s="1"/>
  <c r="F545" i="1"/>
  <c r="H434" i="1"/>
  <c r="J620" i="1"/>
  <c r="D103" i="2"/>
  <c r="I140" i="1"/>
  <c r="A22" i="12"/>
  <c r="J652" i="1"/>
  <c r="G571" i="1"/>
  <c r="I434" i="1"/>
  <c r="G434" i="1"/>
  <c r="I663" i="1"/>
  <c r="I662" i="1" l="1"/>
  <c r="E33" i="13"/>
  <c r="D35" i="13" s="1"/>
  <c r="E104" i="2"/>
  <c r="D104" i="2"/>
  <c r="E51" i="2"/>
  <c r="J647" i="1"/>
  <c r="C141" i="2"/>
  <c r="C144" i="2" s="1"/>
  <c r="I193" i="1"/>
  <c r="G630" i="1" s="1"/>
  <c r="J630" i="1" s="1"/>
  <c r="F193" i="1"/>
  <c r="G627" i="1" s="1"/>
  <c r="J627" i="1" s="1"/>
  <c r="L408" i="1"/>
  <c r="G637" i="1" s="1"/>
  <c r="J637" i="1" s="1"/>
  <c r="F104" i="2"/>
  <c r="C36" i="10"/>
  <c r="E128" i="2"/>
  <c r="G104" i="2"/>
  <c r="L571" i="1"/>
  <c r="K552" i="1"/>
  <c r="L545" i="1"/>
  <c r="J642" i="1"/>
  <c r="H646" i="1"/>
  <c r="J646" i="1" s="1"/>
  <c r="I661" i="1"/>
  <c r="G635" i="1"/>
  <c r="J635" i="1" s="1"/>
  <c r="H664" i="1"/>
  <c r="H672" i="1" s="1"/>
  <c r="C6" i="10" s="1"/>
  <c r="L338" i="1"/>
  <c r="L352" i="1" s="1"/>
  <c r="G633" i="1" s="1"/>
  <c r="J633" i="1" s="1"/>
  <c r="G660" i="1"/>
  <c r="G664" i="1" s="1"/>
  <c r="G667" i="1" s="1"/>
  <c r="E145" i="2"/>
  <c r="D31" i="13"/>
  <c r="C31" i="13" s="1"/>
  <c r="F660" i="1"/>
  <c r="F664" i="1" s="1"/>
  <c r="F667" i="1" s="1"/>
  <c r="C25" i="13"/>
  <c r="H33" i="13"/>
  <c r="H648" i="1"/>
  <c r="J648" i="1" s="1"/>
  <c r="C28" i="10"/>
  <c r="D22" i="10" s="1"/>
  <c r="C128" i="2"/>
  <c r="C115" i="2"/>
  <c r="L257" i="1"/>
  <c r="L271" i="1" s="1"/>
  <c r="G632" i="1" s="1"/>
  <c r="J632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H667" i="1"/>
  <c r="D33" i="13"/>
  <c r="D36" i="13" s="1"/>
  <c r="I660" i="1"/>
  <c r="I664" i="1" s="1"/>
  <c r="I672" i="1" s="1"/>
  <c r="C7" i="10" s="1"/>
  <c r="D18" i="10"/>
  <c r="D12" i="10"/>
  <c r="D11" i="10"/>
  <c r="D24" i="10"/>
  <c r="D27" i="10"/>
  <c r="D17" i="10"/>
  <c r="D13" i="10"/>
  <c r="D21" i="10"/>
  <c r="D10" i="10"/>
  <c r="D26" i="10"/>
  <c r="C30" i="10"/>
  <c r="D16" i="10"/>
  <c r="D23" i="10"/>
  <c r="D20" i="10"/>
  <c r="D15" i="10"/>
  <c r="D25" i="10"/>
  <c r="D19" i="10"/>
  <c r="C145" i="2"/>
  <c r="F672" i="1"/>
  <c r="C4" i="10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<sst xmlns="http://schemas.openxmlformats.org/spreadsheetml/2006/main" count="3961" uniqueCount="917">
  <si>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</si>
  <si>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</si>
  <si>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</si>
  <si>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</si>
  <si>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</si>
  <si>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</si>
  <si>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</si>
  <si>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</si>
  <si>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</si>
  <si>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</si>
  <si>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</si>
  <si>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</si>
  <si>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</si>
  <si>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</si>
  <si>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</si>
  <si>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</si>
  <si>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</si>
  <si>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</si>
  <si>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</si>
  <si>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</si>
  <si>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</si>
  <si>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</si>
  <si>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</si>
  <si>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</si>
  <si>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</si>
  <si>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</si>
  <si>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</si>
  <si>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</si>
  <si>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</si>
  <si>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</si>
  <si>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</si>
  <si>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</si>
  <si>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</si>
  <si>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</si>
  <si>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</si>
  <si>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</si>
  <si>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</si>
  <si>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</si>
  <si>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</si>
  <si>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</si>
  <si>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</si>
  <si>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</si>
  <si>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</si>
  <si>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</si>
  <si>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</si>
  <si>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</si>
  <si>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</si>
  <si>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</si>
  <si>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</si>
  <si>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</si>
  <si>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</si>
  <si>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</si>
  <si>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</si>
  <si>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</si>
  <si>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</si>
  <si>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</si>
  <si>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</si>
  <si>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</si>
  <si>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</si>
  <si>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</si>
  <si>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</si>
  <si>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</si>
  <si>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</si>
  <si>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</si>
  <si>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</si>
  <si>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</si>
  <si>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</si>
  <si>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</si>
  <si>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</si>
  <si>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</si>
  <si>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</si>
  <si>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</si>
  <si>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</si>
  <si>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</si>
  <si>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</si>
  <si>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</si>
  <si>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</si>
  <si>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</si>
  <si>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</si>
  <si>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</si>
  <si>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</si>
  <si>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</si>
  <si>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</si>
  <si>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</si>
  <si>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</si>
  <si>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</si>
  <si>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</si>
  <si>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</si>
  <si>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</si>
  <si>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</si>
  <si>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</si>
  <si>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</si>
  <si>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</si>
  <si>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</si>
  <si>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</si>
  <si>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</si>
  <si>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</si>
  <si>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</si>
  <si>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</si>
  <si>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</si>
  <si>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</si>
  <si>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</si>
  <si>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</si>
  <si>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</si>
  <si>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</si>
  <si>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</si>
  <si>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</si>
  <si>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</si>
  <si>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</si>
  <si>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</si>
  <si>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</si>
  <si>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</si>
  <si>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</si>
  <si>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</si>
  <si>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</si>
  <si>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</si>
  <si>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</si>
  <si>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</si>
  <si>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</si>
  <si>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</si>
  <si>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</si>
  <si>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</si>
  <si>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</si>
  <si>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</si>
  <si>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</si>
  <si>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</si>
  <si>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</si>
  <si>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</si>
  <si>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</si>
  <si>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</si>
  <si>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</si>
  <si>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</si>
  <si>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</si>
  <si>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</si>
  <si>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</si>
  <si>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</si>
  <si>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</si>
  <si>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</si>
  <si>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</si>
  <si>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</si>
  <si>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</si>
  <si>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</si>
  <si>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</si>
  <si>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</si>
  <si>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</si>
  <si>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</si>
  <si>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</si>
  <si>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</si>
  <si>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</si>
  <si>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</si>
  <si>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</si>
  <si>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</si>
  <si>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</si>
  <si>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</si>
  <si>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</si>
  <si>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</si>
  <si>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</si>
  <si>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</si>
  <si>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</si>
  <si>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</si>
  <si>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</si>
  <si>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</si>
  <si>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</si>
  <si>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</si>
  <si>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</si>
  <si>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</si>
  <si>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</si>
  <si>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</si>
  <si>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</si>
  <si>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</si>
  <si>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</si>
  <si>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</si>
  <si>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</si>
  <si>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</si>
  <si>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</si>
  <si>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</si>
  <si>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</si>
  <si>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</si>
  <si>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</si>
  <si>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</si>
  <si>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</si>
  <si>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</si>
  <si>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</si>
  <si>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</si>
  <si>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</si>
  <si>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</si>
  <si>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</si>
  <si>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</si>
  <si>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</si>
  <si>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</si>
  <si>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</si>
  <si>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</si>
  <si>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</si>
  <si>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</si>
  <si>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</si>
  <si>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</si>
  <si>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</si>
  <si>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</si>
  <si>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</si>
  <si>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</si>
  <si>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</si>
  <si>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</si>
  <si>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</si>
  <si>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</si>
  <si>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</si>
  <si>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</si>
  <si>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</si>
  <si>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</si>
  <si>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</si>
  <si>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</si>
  <si>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</si>
  <si>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</si>
  <si>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</si>
  <si>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</si>
  <si>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</si>
  <si>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</si>
  <si>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</si>
  <si>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</si>
  <si>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</si>
  <si>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</si>
  <si>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</si>
  <si>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</si>
  <si>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</si>
  <si>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</si>
  <si>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</si>
  <si>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</si>
  <si>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</si>
  <si>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</si>
  <si>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</si>
  <si>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</si>
  <si>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</si>
  <si>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</si>
  <si>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</si>
  <si>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</si>
  <si>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</si>
  <si>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</si>
  <si>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</si>
  <si>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</si>
  <si>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</si>
  <si>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</si>
  <si>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</si>
  <si>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</si>
  <si>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</si>
  <si>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</si>
  <si>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</si>
  <si>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</si>
  <si>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</si>
  <si>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</si>
  <si>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</si>
  <si>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</si>
  <si>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</si>
  <si>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</si>
  <si>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</si>
  <si>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</si>
  <si>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</si>
  <si>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</si>
  <si>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</si>
  <si>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</si>
  <si>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</si>
  <si>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</si>
  <si>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</si>
  <si>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</si>
  <si>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</si>
  <si>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</si>
  <si>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</si>
  <si>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</si>
  <si>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</si>
  <si>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</si>
  <si>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</si>
  <si>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</si>
  <si>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</si>
  <si>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</si>
  <si>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</si>
  <si>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</si>
  <si>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</si>
  <si>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</si>
  <si>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</si>
  <si>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</si>
  <si>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</si>
  <si>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</si>
  <si>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</si>
  <si>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</si>
  <si>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</si>
  <si>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</si>
  <si>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</si>
  <si>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</si>
  <si>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</si>
  <si>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</si>
  <si>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</si>
  <si>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</si>
  <si>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</si>
  <si>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</si>
  <si>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</si>
  <si>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</si>
  <si>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</si>
  <si>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</si>
  <si>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</si>
  <si>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</si>
  <si>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</si>
  <si>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</si>
  <si>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</si>
  <si>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</si>
  <si>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</si>
  <si>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</si>
  <si>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</si>
  <si>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</si>
  <si>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</si>
  <si>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</si>
  <si>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</si>
  <si>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</si>
  <si>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</si>
  <si>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</si>
  <si>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</si>
  <si>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</si>
  <si>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</si>
  <si>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</si>
  <si>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</si>
  <si>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</si>
  <si>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</si>
  <si>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</si>
  <si>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</si>
  <si>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</si>
  <si>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</si>
  <si>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</si>
  <si>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</si>
  <si>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</si>
  <si>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</si>
  <si>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</si>
  <si>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</si>
  <si>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</si>
  <si>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</si>
  <si>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</si>
  <si>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</si>
  <si>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</si>
  <si>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</si>
  <si>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</si>
  <si>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</si>
  <si>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</si>
  <si>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</si>
  <si>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</si>
  <si>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</si>
  <si>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</si>
  <si>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</si>
  <si>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</si>
  <si>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</si>
  <si>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</si>
  <si>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</si>
  <si>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</si>
  <si>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</si>
  <si>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</si>
  <si>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</si>
  <si>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</si>
  <si>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</si>
  <si>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</si>
  <si>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</si>
  <si>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</si>
  <si>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</si>
  <si>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</si>
  <si>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</si>
  <si>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</si>
  <si>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</si>
  <si>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</si>
  <si>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</si>
  <si>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</si>
  <si>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</si>
  <si>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</si>
  <si>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</si>
  <si>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</si>
  <si>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</si>
  <si>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</si>
  <si>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</si>
  <si>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</si>
  <si>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</si>
  <si>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</si>
  <si>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</si>
  <si>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</si>
  <si>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</si>
  <si>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</si>
  <si>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</si>
  <si>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</si>
  <si>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</si>
  <si>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</si>
  <si>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</si>
  <si>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</si>
  <si>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</si>
  <si>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</si>
  <si>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</si>
  <si>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</si>
  <si>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</si>
  <si>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</si>
  <si>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</si>
  <si>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</si>
  <si>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</si>
  <si>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</si>
  <si>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</si>
  <si>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</si>
  <si>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</si>
  <si>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</si>
  <si>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</si>
  <si>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</si>
  <si>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</si>
  <si>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</si>
  <si>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</si>
  <si>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</si>
  <si>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</si>
  <si>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</si>
  <si>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</si>
  <si>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</si>
  <si>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</si>
  <si>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</si>
  <si>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</si>
  <si>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</si>
  <si>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</si>
  <si>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</si>
  <si>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</si>
  <si>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</si>
  <si>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</si>
  <si>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</si>
  <si>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</si>
  <si>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</si>
  <si>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</si>
  <si>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</si>
  <si>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</si>
  <si>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</si>
  <si>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</si>
  <si>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</si>
  <si>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</si>
  <si>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</si>
  <si>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</si>
  <si>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</si>
  <si>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</si>
  <si>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</si>
  <si>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</si>
  <si>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</si>
  <si>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</si>
  <si>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</si>
  <si>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</si>
  <si>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</si>
  <si>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</si>
  <si>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</si>
  <si>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</si>
  <si>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</si>
  <si>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</si>
  <si>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</si>
  <si>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</si>
  <si>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</si>
  <si>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</si>
  <si>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</si>
  <si>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</si>
  <si>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</si>
  <si>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</si>
  <si>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</si>
  <si>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</si>
  <si>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</si>
  <si>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</si>
  <si>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</si>
  <si>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</si>
  <si>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</si>
  <si>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</si>
  <si>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</si>
  <si>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</si>
  <si>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</si>
  <si>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</si>
  <si>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</si>
  <si>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</si>
  <si>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</si>
  <si>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</si>
  <si>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</si>
  <si>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</si>
  <si>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</si>
  <si>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</si>
  <si>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</si>
  <si>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</si>
  <si>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</si>
  <si>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</si>
  <si>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</si>
  <si>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</si>
  <si>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</si>
  <si>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</si>
  <si>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</si>
  <si>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</si>
  <si>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</si>
  <si>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</si>
  <si>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</si>
  <si>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</si>
  <si>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</si>
  <si>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</si>
  <si>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</si>
  <si>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</si>
  <si>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</si>
  <si>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</si>
  <si>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</si>
  <si>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</si>
  <si>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</si>
  <si>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</si>
  <si>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</si>
  <si>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</si>
  <si>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</si>
  <si>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</si>
  <si>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</si>
  <si>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</si>
  <si>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</si>
  <si>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</si>
  <si>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</si>
  <si>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</si>
  <si>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</si>
  <si>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</si>
  <si>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</si>
  <si>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</si>
  <si>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</si>
  <si>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</si>
  <si>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</si>
  <si>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</si>
  <si>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</si>
  <si>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</si>
  <si>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</si>
  <si>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</si>
  <si>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</si>
  <si>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</si>
  <si>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</si>
  <si>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</si>
  <si>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</si>
  <si>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</si>
  <si>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</si>
  <si>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</si>
  <si>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</si>
  <si>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</si>
  <si>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</si>
  <si>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</si>
  <si>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</si>
  <si>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</si>
  <si>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</si>
  <si>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</si>
  <si>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</si>
  <si>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</si>
  <si>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</si>
  <si>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</si>
  <si>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</si>
  <si>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</si>
  <si>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</si>
  <si>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</si>
  <si>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</si>
  <si>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</si>
  <si>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</si>
  <si>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</si>
  <si>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</si>
  <si>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</si>
  <si>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</si>
  <si>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</si>
  <si>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</si>
  <si>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</si>
  <si>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</si>
  <si>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</si>
  <si>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</si>
  <si>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</si>
  <si>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</si>
  <si>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</si>
  <si>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</si>
  <si>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</si>
  <si>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</si>
  <si>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</si>
  <si>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</si>
  <si>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</si>
  <si>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</si>
  <si>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</si>
  <si>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</si>
  <si>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</si>
  <si>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</si>
  <si>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</si>
  <si>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</si>
  <si>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</si>
  <si>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</si>
  <si>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</si>
  <si>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</si>
  <si>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</si>
  <si>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</si>
  <si>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</si>
  <si>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</si>
  <si>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</si>
  <si>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</si>
  <si>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</si>
  <si>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</si>
  <si>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</si>
  <si>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</si>
  <si>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</si>
  <si>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</si>
  <si>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</si>
  <si>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</si>
  <si>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</si>
  <si>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</si>
  <si>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</si>
  <si>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</si>
  <si>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</si>
  <si>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</si>
  <si>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</si>
  <si>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</si>
  <si>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</si>
  <si>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</si>
  <si>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</si>
  <si>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</si>
  <si>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</si>
  <si>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</si>
  <si>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</si>
  <si>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</si>
  <si>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</si>
  <si>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</si>
  <si>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</si>
  <si>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</si>
  <si>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</si>
  <si>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</si>
  <si>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</si>
  <si>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</si>
  <si>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</si>
  <si>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</si>
  <si>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</si>
  <si>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</si>
  <si>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</si>
  <si>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</si>
  <si>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</si>
  <si>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</si>
  <si>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</si>
  <si>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</si>
  <si>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</si>
  <si>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</si>
  <si>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</si>
  <si>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</si>
  <si>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</si>
  <si>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</si>
  <si>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</si>
  <si>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</si>
  <si>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</si>
  <si>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</si>
  <si>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</si>
  <si>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</si>
  <si>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</si>
  <si>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</si>
  <si>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</si>
  <si>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</si>
  <si>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</si>
  <si>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</si>
  <si>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</si>
  <si>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</si>
  <si>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</si>
  <si>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</si>
  <si>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</si>
  <si>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</si>
  <si>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</si>
  <si>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</si>
  <si>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</si>
  <si>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</si>
  <si>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</si>
  <si>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</si>
  <si>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</si>
  <si>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</si>
  <si>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</si>
  <si>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</si>
  <si>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</si>
  <si>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</si>
  <si>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</si>
  <si>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</si>
  <si>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</si>
  <si>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</si>
  <si>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</si>
  <si>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</si>
  <si>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</si>
  <si>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</si>
  <si>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</si>
  <si>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</si>
  <si>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</si>
  <si>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</si>
  <si>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</si>
  <si>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</si>
  <si>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</si>
  <si>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</si>
  <si>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</si>
  <si>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</si>
  <si>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</si>
  <si>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</si>
  <si>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</si>
  <si>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</si>
  <si>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</si>
  <si>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</si>
  <si>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</si>
  <si>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</si>
  <si>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</si>
  <si>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</si>
  <si>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</si>
  <si>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</si>
  <si>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</si>
  <si>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</si>
  <si>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</si>
  <si>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</si>
  <si>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</si>
  <si>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</si>
  <si>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</si>
  <si>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</si>
  <si>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</si>
  <si>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</si>
  <si>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</si>
  <si>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</si>
  <si>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</si>
  <si>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</si>
  <si>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</si>
  <si>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</si>
  <si>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</si>
  <si>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</si>
  <si>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</si>
  <si>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</si>
  <si>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</si>
  <si>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</si>
  <si>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</si>
  <si>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</si>
  <si>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</si>
  <si>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</si>
  <si>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</si>
  <si>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</si>
  <si>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</si>
  <si>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</si>
  <si>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</si>
  <si>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</si>
  <si>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</si>
  <si>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</si>
  <si>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</si>
  <si>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</si>
  <si>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</si>
  <si>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</si>
  <si>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</si>
  <si>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</si>
  <si>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</si>
  <si>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</si>
  <si>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</si>
  <si>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</si>
  <si>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</si>
  <si>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</si>
  <si>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</si>
  <si>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</si>
  <si>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</si>
  <si>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</si>
  <si>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</si>
  <si>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</si>
  <si>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</si>
  <si>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</si>
  <si>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</si>
  <si>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</si>
  <si>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</si>
  <si>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</si>
  <si>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</si>
  <si>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</si>
  <si>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</si>
  <si>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</si>
  <si>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</si>
  <si>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</si>
  <si>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</si>
  <si>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</si>
  <si>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</si>
  <si>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</si>
  <si>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</si>
  <si>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</si>
  <si>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</si>
  <si>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</si>
  <si>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</si>
  <si>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</si>
  <si>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</si>
  <si>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</si>
  <si>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</si>
  <si>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</si>
  <si>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</si>
  <si>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</si>
  <si>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</si>
  <si>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</si>
  <si>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</si>
  <si>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</si>
  <si>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</si>
  <si>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</si>
  <si>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</si>
  <si>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</si>
  <si>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</si>
  <si>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</si>
  <si>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</si>
  <si>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</si>
  <si>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</si>
  <si>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</si>
  <si>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</si>
  <si>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</si>
  <si>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</si>
  <si>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</si>
  <si>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</si>
  <si>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</si>
  <si>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</si>
  <si>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</si>
  <si>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</si>
  <si>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</si>
  <si>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</si>
  <si>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</si>
  <si>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</si>
  <si>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</si>
  <si>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</si>
  <si>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</si>
  <si>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</si>
  <si>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</si>
  <si>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</si>
  <si>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</si>
  <si>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</si>
  <si>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</si>
  <si>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</si>
  <si>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</si>
  <si>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</si>
  <si>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</si>
  <si>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</si>
  <si>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</si>
  <si>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</si>
  <si>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</si>
  <si>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</si>
  <si>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</si>
  <si>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</si>
  <si>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</si>
  <si>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</si>
  <si>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</si>
  <si>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</si>
  <si>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</si>
  <si>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</si>
  <si>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</si>
  <si>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</si>
  <si>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</si>
  <si>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</si>
  <si>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</si>
  <si>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</si>
  <si>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</si>
  <si>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</si>
  <si>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</si>
  <si>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</si>
  <si>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</si>
  <si>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</si>
  <si>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</si>
  <si>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</si>
  <si>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</si>
  <si>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</si>
  <si>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</si>
  <si>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</si>
  <si>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</si>
  <si>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</si>
  <si>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</si>
  <si>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</si>
  <si>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</si>
  <si>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</si>
  <si>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</si>
  <si>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</si>
  <si>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</si>
  <si>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</si>
  <si>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</si>
  <si>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</si>
  <si>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</si>
  <si>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</si>
  <si>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</si>
  <si>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</si>
  <si>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</si>
  <si>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</si>
  <si>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</si>
  <si>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</si>
  <si>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</si>
  <si>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</si>
  <si>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</si>
  <si>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</si>
  <si>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</si>
  <si>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</si>
  <si>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</si>
  <si>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</si>
  <si>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</si>
  <si>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</si>
  <si>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</si>
  <si>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</si>
  <si>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</si>
  <si>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</si>
  <si>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</si>
  <si>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</si>
  <si>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</si>
  <si>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</si>
  <si>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</si>
  <si>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</si>
  <si>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</si>
  <si>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</si>
  <si>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</si>
  <si>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</si>
  <si>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</si>
  <si>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</si>
  <si>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</si>
  <si>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</si>
  <si>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</si>
  <si>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</si>
  <si>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</si>
  <si>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</si>
  <si>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</si>
  <si>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</si>
  <si>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</si>
  <si>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</si>
  <si>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</si>
  <si>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</si>
  <si>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</si>
  <si>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</si>
  <si>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</si>
  <si>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</si>
  <si>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</si>
  <si>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</si>
  <si>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</si>
  <si>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</si>
  <si>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</si>
  <si>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</si>
  <si>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</si>
  <si>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</si>
  <si>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</si>
  <si>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</si>
  <si>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</si>
  <si>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Private Purpose Trusts (Scholarships)</t>
  </si>
  <si>
    <t>Permanent Funds</t>
  </si>
  <si>
    <t>07/06</t>
  </si>
  <si>
    <t>08/21</t>
  </si>
  <si>
    <t>Jaffrey-Rindge Cooperative School District (SAU 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</si>
</sst>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916</v>
      </c>
      <c r="B2" s="21">
        <v>274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1022564.89</v>
      </c>
      <c r="G9" s="18">
        <v>1030.9000000000001</v>
      </c>
      <c r="H9" s="18">
        <v>7118</v>
      </c>
      <c r="I9" s="18">
        <v>0</v>
      </c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2566281.75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166321.51</v>
      </c>
      <c r="G12" s="18">
        <v>2013.33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44725.33</v>
      </c>
      <c r="G13" s="18">
        <v>13228.69</v>
      </c>
      <c r="H13" s="18">
        <v>168334.84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3644.87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>
        <v>29467</v>
      </c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13393.5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1250650.1000000001</v>
      </c>
      <c r="G19" s="41">
        <f>SUM(G9:G18)</f>
        <v>45739.92</v>
      </c>
      <c r="H19" s="41">
        <f>SUM(H9:H18)</f>
        <v>175452.84</v>
      </c>
      <c r="I19" s="41">
        <f>SUM(I9:I18)</f>
        <v>0</v>
      </c>
      <c r="J19" s="41">
        <f>SUM(J9:J18)</f>
        <v>2566281.75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168334.84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154831.82999999999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29507.99</v>
      </c>
      <c r="G28" s="18">
        <v>15</v>
      </c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2257.38+3664.14+23541.37</f>
        <v>29462.89</v>
      </c>
      <c r="G29" s="18">
        <v>1.1499999999999999</v>
      </c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15832.54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213802.70999999996</v>
      </c>
      <c r="G32" s="41">
        <f>SUM(G22:G31)</f>
        <v>15848.69</v>
      </c>
      <c r="H32" s="41">
        <f>SUM(H22:H31)</f>
        <v>168334.84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>
        <v>29467</v>
      </c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13393.5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424.23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>
        <v>7118</v>
      </c>
      <c r="I43" s="18"/>
      <c r="J43" s="13">
        <f>SUM(I456)</f>
        <v>2566281.75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15493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200000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225332.66</v>
      </c>
      <c r="G48" s="18"/>
      <c r="H48" s="18"/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582628.23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1036847.39</v>
      </c>
      <c r="G51" s="41">
        <f>SUM(G35:G50)</f>
        <v>29891.23</v>
      </c>
      <c r="H51" s="41">
        <f>SUM(H35:H50)</f>
        <v>7118</v>
      </c>
      <c r="I51" s="41">
        <f>SUM(I35:I50)</f>
        <v>0</v>
      </c>
      <c r="J51" s="41">
        <f>SUM(J35:J50)</f>
        <v>2566281.75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1250650.1000000001</v>
      </c>
      <c r="G52" s="41">
        <f>G51+G32</f>
        <v>45739.92</v>
      </c>
      <c r="H52" s="41">
        <f>H51+H32</f>
        <v>175452.84</v>
      </c>
      <c r="I52" s="41">
        <f>I51+I32</f>
        <v>0</v>
      </c>
      <c r="J52" s="41">
        <f>J51+J32</f>
        <v>2566281.75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15480960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15480960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19500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13899.92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1381.8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3515.58</v>
      </c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38297.300000000003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69185.03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250102.34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2825</v>
      </c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23609.919999999998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24434.56+79564.68+67400</f>
        <v>171399.24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197834.15999999997</v>
      </c>
      <c r="G111" s="41">
        <f>SUM(G96:G110)</f>
        <v>250102.34</v>
      </c>
      <c r="H111" s="41">
        <f>SUM(H96:H110)</f>
        <v>0</v>
      </c>
      <c r="I111" s="41">
        <f>SUM(I96:I110)</f>
        <v>0</v>
      </c>
      <c r="J111" s="41">
        <f>SUM(J96:J110)</f>
        <v>69185.03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15717091.460000001</v>
      </c>
      <c r="G112" s="41">
        <f>G60+G111</f>
        <v>250102.34</v>
      </c>
      <c r="H112" s="41">
        <f>H60+H79+H94+H111</f>
        <v>0</v>
      </c>
      <c r="I112" s="41">
        <f>I60+I111</f>
        <v>0</v>
      </c>
      <c r="J112" s="41">
        <f>J60+J111</f>
        <v>69185.03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4802640.76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2181054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728.03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6984422.79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325898.36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505957.23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4260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>
        <v>3845.6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7443.21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836115.59</v>
      </c>
      <c r="G136" s="41">
        <f>SUM(G123:G135)</f>
        <v>7443.21</v>
      </c>
      <c r="H136" s="41">
        <f>SUM(H123:H135)</f>
        <v>3845.6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7820538.3799999999</v>
      </c>
      <c r="G140" s="41">
        <f>G121+SUM(G136:G137)</f>
        <v>7443.21</v>
      </c>
      <c r="H140" s="41">
        <f>H121+SUM(H136:H139)</f>
        <v>3845.6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386697.9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13057.91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259494.06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359812.71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156047.71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156047.71</v>
      </c>
      <c r="G162" s="41">
        <f>SUM(G150:G161)</f>
        <v>259494.06</v>
      </c>
      <c r="H162" s="41">
        <f>SUM(H150:H161)</f>
        <v>759568.52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156047.71</v>
      </c>
      <c r="G169" s="41">
        <f>G147+G162+SUM(G163:G168)</f>
        <v>259494.06</v>
      </c>
      <c r="H169" s="41">
        <f>H147+H162+SUM(H163:H168)</f>
        <v>759568.52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24000</v>
      </c>
      <c r="H179" s="18"/>
      <c r="I179" s="18"/>
      <c r="J179" s="18">
        <v>400000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8095</v>
      </c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8095</v>
      </c>
      <c r="G183" s="41">
        <f>SUM(G179:G182)</f>
        <v>24000</v>
      </c>
      <c r="H183" s="41">
        <f>SUM(H179:H182)</f>
        <v>0</v>
      </c>
      <c r="I183" s="41">
        <f>SUM(I179:I182)</f>
        <v>0</v>
      </c>
      <c r="J183" s="41">
        <f>SUM(J179:J182)</f>
        <v>400000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8095</v>
      </c>
      <c r="G192" s="41">
        <f>G183+SUM(G188:G191)</f>
        <v>24000</v>
      </c>
      <c r="H192" s="41">
        <f>+H183+SUM(H188:H191)</f>
        <v>0</v>
      </c>
      <c r="I192" s="41">
        <f>I177+I183+SUM(I188:I191)</f>
        <v>0</v>
      </c>
      <c r="J192" s="41">
        <f>J183</f>
        <v>400000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23701772.550000001</v>
      </c>
      <c r="G193" s="47">
        <f>G112+G140+G169+G192</f>
        <v>541039.61</v>
      </c>
      <c r="H193" s="47">
        <f>H112+H140+H169+H192</f>
        <v>763414.12</v>
      </c>
      <c r="I193" s="47">
        <f>I112+I140+I169+I192</f>
        <v>0</v>
      </c>
      <c r="J193" s="47">
        <f>J112+J140+J192</f>
        <v>469185.03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2548804.59</f>
        <v>2548804.59</v>
      </c>
      <c r="G197" s="18">
        <f>1134171.4+33501.23-0.01</f>
        <v>1167672.6199999999</v>
      </c>
      <c r="H197" s="18">
        <f>12612.55+1277.5</f>
        <v>13890.05</v>
      </c>
      <c r="I197" s="18">
        <v>84898.91</v>
      </c>
      <c r="J197" s="18">
        <v>7294.81</v>
      </c>
      <c r="K197" s="18">
        <v>100</v>
      </c>
      <c r="L197" s="19">
        <f>SUM(F197:K197)</f>
        <v>3822660.98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1163694.99+204550.04</f>
        <v>1368245.03</v>
      </c>
      <c r="G198" s="18">
        <f>551781.13+60403.89</f>
        <v>612185.02</v>
      </c>
      <c r="H198" s="18">
        <f>108828.91+11050.57-0.01</f>
        <v>119879.47000000002</v>
      </c>
      <c r="I198" s="18">
        <f>8625.53+1897.08</f>
        <v>10522.61</v>
      </c>
      <c r="J198" s="18">
        <f>1143.59+96.25</f>
        <v>1239.8399999999999</v>
      </c>
      <c r="K198" s="18">
        <v>11850.41</v>
      </c>
      <c r="L198" s="19">
        <f>SUM(F198:K198)</f>
        <v>2123922.38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81366.17</v>
      </c>
      <c r="G200" s="18">
        <v>16625.52</v>
      </c>
      <c r="H200" s="18">
        <v>0</v>
      </c>
      <c r="I200" s="18">
        <v>234.66</v>
      </c>
      <c r="J200" s="18">
        <v>0</v>
      </c>
      <c r="K200" s="18">
        <v>0</v>
      </c>
      <c r="L200" s="19">
        <f>SUM(F200:K200)</f>
        <v>98226.35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366354.77+1297.75</f>
        <v>367652.52</v>
      </c>
      <c r="G202" s="18">
        <f>157111.4+142.73</f>
        <v>157254.13</v>
      </c>
      <c r="H202" s="18">
        <f>35113.87+90</f>
        <v>35203.870000000003</v>
      </c>
      <c r="I202" s="18">
        <f>9976.85+499.95</f>
        <v>10476.800000000001</v>
      </c>
      <c r="J202" s="18">
        <v>0</v>
      </c>
      <c r="K202" s="18">
        <v>0</v>
      </c>
      <c r="L202" s="19">
        <f t="shared" ref="L202:L208" si="0">SUM(F202:K202)</f>
        <v>570587.32000000007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130981.59+65557.18</f>
        <v>196538.77</v>
      </c>
      <c r="G203" s="18">
        <f>61065.35+17330.28-0.01</f>
        <v>78395.62000000001</v>
      </c>
      <c r="H203" s="18">
        <v>31510.29</v>
      </c>
      <c r="I203" s="18">
        <f>15604.73+761.57</f>
        <v>16366.3</v>
      </c>
      <c r="J203" s="18">
        <v>0</v>
      </c>
      <c r="K203" s="18">
        <v>2987</v>
      </c>
      <c r="L203" s="19">
        <f t="shared" si="0"/>
        <v>325797.98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110738.01</v>
      </c>
      <c r="G204" s="18">
        <v>31490.12</v>
      </c>
      <c r="H204" s="18">
        <v>36956.43</v>
      </c>
      <c r="I204" s="18">
        <v>2389.86</v>
      </c>
      <c r="J204" s="18">
        <v>0</v>
      </c>
      <c r="K204" s="18">
        <v>2755.23</v>
      </c>
      <c r="L204" s="19">
        <f t="shared" si="0"/>
        <v>184329.65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339157.39</v>
      </c>
      <c r="G205" s="18">
        <v>148558.72</v>
      </c>
      <c r="H205" s="18">
        <f>3117.47+5140.72</f>
        <v>8258.19</v>
      </c>
      <c r="I205" s="18">
        <v>2763.88</v>
      </c>
      <c r="J205" s="18">
        <v>775</v>
      </c>
      <c r="K205" s="18">
        <v>3664</v>
      </c>
      <c r="L205" s="19">
        <f t="shared" si="0"/>
        <v>503177.18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f>147981.11-0.01</f>
        <v>147981.09999999998</v>
      </c>
      <c r="G206" s="18">
        <v>65006.19</v>
      </c>
      <c r="H206" s="18">
        <v>64812.85</v>
      </c>
      <c r="I206" s="18">
        <v>2113.5100000000002</v>
      </c>
      <c r="J206" s="18">
        <v>670.26</v>
      </c>
      <c r="K206" s="18">
        <v>5517.72</v>
      </c>
      <c r="L206" s="19">
        <f t="shared" si="0"/>
        <v>286101.62999999995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233226.54+120522.8+0.01</f>
        <v>353749.35000000003</v>
      </c>
      <c r="G207" s="18">
        <f>113641.66+58528.94+0.01</f>
        <v>172170.61000000002</v>
      </c>
      <c r="H207" s="18">
        <f>185907.25+47847.4-0.01</f>
        <v>233754.63999999998</v>
      </c>
      <c r="I207" s="18">
        <f>174564.95+2636.86-0.01</f>
        <v>177201.8</v>
      </c>
      <c r="J207" s="18">
        <f>594082.62+4985.44-0.01</f>
        <v>599068.04999999993</v>
      </c>
      <c r="K207" s="18">
        <v>315</v>
      </c>
      <c r="L207" s="19">
        <f t="shared" si="0"/>
        <v>1536259.4500000002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167910.19+330890</f>
        <v>498800.19</v>
      </c>
      <c r="I208" s="18">
        <v>42078.73</v>
      </c>
      <c r="J208" s="18">
        <v>0</v>
      </c>
      <c r="K208" s="18">
        <v>0</v>
      </c>
      <c r="L208" s="19">
        <f t="shared" si="0"/>
        <v>540878.92000000004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72624.02</v>
      </c>
      <c r="G209" s="18">
        <v>28187.51</v>
      </c>
      <c r="H209" s="18">
        <f>122422.26-0.01</f>
        <v>122422.25</v>
      </c>
      <c r="I209" s="18">
        <f>5492.17+55414.36</f>
        <v>60906.53</v>
      </c>
      <c r="J209" s="18">
        <v>135042.76999999999</v>
      </c>
      <c r="K209" s="18">
        <v>0</v>
      </c>
      <c r="L209" s="19">
        <f>SUM(F209:K209)</f>
        <v>419183.07999999996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5586856.9499999983</v>
      </c>
      <c r="G211" s="41">
        <f t="shared" si="1"/>
        <v>2477546.06</v>
      </c>
      <c r="H211" s="41">
        <f t="shared" si="1"/>
        <v>1165488.23</v>
      </c>
      <c r="I211" s="41">
        <f t="shared" si="1"/>
        <v>409953.58999999997</v>
      </c>
      <c r="J211" s="41">
        <f t="shared" si="1"/>
        <v>744090.73</v>
      </c>
      <c r="K211" s="41">
        <f t="shared" si="1"/>
        <v>27189.360000000001</v>
      </c>
      <c r="L211" s="41">
        <f t="shared" si="1"/>
        <v>10411124.92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1043723.19</v>
      </c>
      <c r="G215" s="18">
        <f>429363.16+14740.54</f>
        <v>444103.69999999995</v>
      </c>
      <c r="H215" s="18">
        <f>1600.22+562.1</f>
        <v>2162.3200000000002</v>
      </c>
      <c r="I215" s="18">
        <v>24956.71</v>
      </c>
      <c r="J215" s="18">
        <v>4695.21</v>
      </c>
      <c r="K215" s="18">
        <v>120</v>
      </c>
      <c r="L215" s="19">
        <f>SUM(F215:K215)</f>
        <v>1519761.13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486726.09+90002.02</f>
        <v>576728.11</v>
      </c>
      <c r="G216" s="18">
        <f>258705.18+26577.71</f>
        <v>285282.89</v>
      </c>
      <c r="H216" s="18">
        <f>594569.95+4862.25-0.01</f>
        <v>599432.18999999994</v>
      </c>
      <c r="I216" s="18">
        <f>5013.16+834.72</f>
        <v>5847.88</v>
      </c>
      <c r="J216" s="18">
        <f>70+42.35</f>
        <v>112.35</v>
      </c>
      <c r="K216" s="18">
        <v>5214.18</v>
      </c>
      <c r="L216" s="19">
        <f>SUM(F216:K216)</f>
        <v>1472617.5999999999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142376.26</v>
      </c>
      <c r="G217" s="18">
        <v>59169.73</v>
      </c>
      <c r="H217" s="18">
        <v>0</v>
      </c>
      <c r="I217" s="18">
        <v>6013.67</v>
      </c>
      <c r="J217" s="18">
        <v>502.95</v>
      </c>
      <c r="K217" s="18">
        <v>319</v>
      </c>
      <c r="L217" s="19">
        <f>SUM(F217:K217)</f>
        <v>208381.61000000004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60201.599999999999</v>
      </c>
      <c r="G218" s="18">
        <v>8917.01</v>
      </c>
      <c r="H218" s="18">
        <v>3883</v>
      </c>
      <c r="I218" s="18">
        <v>2068.4299999999998</v>
      </c>
      <c r="J218" s="18">
        <v>0</v>
      </c>
      <c r="K218" s="18">
        <v>702.5</v>
      </c>
      <c r="L218" s="19">
        <f>SUM(F218:K218)</f>
        <v>75772.539999999994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279068.85+571.01</f>
        <v>279639.86</v>
      </c>
      <c r="G220" s="18">
        <f>117470.66+62.8</f>
        <v>117533.46</v>
      </c>
      <c r="H220" s="18">
        <f>9028.86+39.6</f>
        <v>9068.4600000000009</v>
      </c>
      <c r="I220" s="18">
        <f>2555.66+219.98</f>
        <v>2775.64</v>
      </c>
      <c r="J220" s="18">
        <v>0</v>
      </c>
      <c r="K220" s="18">
        <v>50</v>
      </c>
      <c r="L220" s="19">
        <f t="shared" ref="L220:L226" si="2">SUM(F220:K220)</f>
        <v>409067.42000000004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68555.6+28845.16</f>
        <v>97400.760000000009</v>
      </c>
      <c r="G221" s="18">
        <f>29288.48+7625.32</f>
        <v>36913.800000000003</v>
      </c>
      <c r="H221" s="18">
        <v>13864.53</v>
      </c>
      <c r="I221" s="18">
        <f>8786.39+335.09</f>
        <v>9121.48</v>
      </c>
      <c r="J221" s="18">
        <v>0</v>
      </c>
      <c r="K221" s="18">
        <v>1314.28</v>
      </c>
      <c r="L221" s="19">
        <f t="shared" si="2"/>
        <v>158614.85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48724.73</v>
      </c>
      <c r="G222" s="18">
        <v>13855.66</v>
      </c>
      <c r="H222" s="18">
        <v>16260.83</v>
      </c>
      <c r="I222" s="18">
        <f>1051.54-0.01</f>
        <v>1051.53</v>
      </c>
      <c r="J222" s="18">
        <v>0</v>
      </c>
      <c r="K222" s="18">
        <v>1212.3</v>
      </c>
      <c r="L222" s="19">
        <f t="shared" si="2"/>
        <v>81105.05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243664.91</v>
      </c>
      <c r="G223" s="18">
        <v>116256.47</v>
      </c>
      <c r="H223" s="18">
        <f>7184.22+2261.92</f>
        <v>9446.14</v>
      </c>
      <c r="I223" s="18">
        <v>2142.5100000000002</v>
      </c>
      <c r="J223" s="18">
        <v>0</v>
      </c>
      <c r="K223" s="18">
        <v>1735.75</v>
      </c>
      <c r="L223" s="19">
        <f t="shared" si="2"/>
        <v>373245.78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65111.69</v>
      </c>
      <c r="G224" s="18">
        <v>28602.720000000001</v>
      </c>
      <c r="H224" s="18">
        <v>28517.65</v>
      </c>
      <c r="I224" s="18">
        <v>929.94</v>
      </c>
      <c r="J224" s="18">
        <v>294.91000000000003</v>
      </c>
      <c r="K224" s="18">
        <v>2427.8000000000002</v>
      </c>
      <c r="L224" s="19">
        <f t="shared" si="2"/>
        <v>125884.71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103995.02+53030.03</f>
        <v>157025.04999999999</v>
      </c>
      <c r="G225" s="18">
        <f>38323.28+25752.73+0.01</f>
        <v>64076.02</v>
      </c>
      <c r="H225" s="18">
        <f>89194.75+21052.85</f>
        <v>110247.6</v>
      </c>
      <c r="I225" s="18">
        <f>113598.77+1160.22-0.01</f>
        <v>114758.98000000001</v>
      </c>
      <c r="J225" s="18">
        <f>22500+2193.59</f>
        <v>24693.59</v>
      </c>
      <c r="K225" s="18">
        <v>138.6</v>
      </c>
      <c r="L225" s="19">
        <f t="shared" si="2"/>
        <v>470939.84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f>129662.15+145591.6</f>
        <v>275253.75</v>
      </c>
      <c r="I226" s="18">
        <v>18514.64</v>
      </c>
      <c r="J226" s="18">
        <v>0</v>
      </c>
      <c r="K226" s="18">
        <v>0</v>
      </c>
      <c r="L226" s="19">
        <f t="shared" si="2"/>
        <v>293768.39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31954.57</v>
      </c>
      <c r="G227" s="18">
        <v>12402.5</v>
      </c>
      <c r="H227" s="18">
        <v>53865.79</v>
      </c>
      <c r="I227" s="18">
        <f>762.66+24382.32</f>
        <v>25144.98</v>
      </c>
      <c r="J227" s="18">
        <v>59418.82</v>
      </c>
      <c r="K227" s="18">
        <v>0</v>
      </c>
      <c r="L227" s="19">
        <f>SUM(F227:K227)</f>
        <v>182786.66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2746550.73</v>
      </c>
      <c r="G229" s="41">
        <f>SUM(G215:G228)</f>
        <v>1187113.96</v>
      </c>
      <c r="H229" s="41">
        <f>SUM(H215:H228)</f>
        <v>1122002.2599999998</v>
      </c>
      <c r="I229" s="41">
        <f>SUM(I215:I228)</f>
        <v>213326.39000000004</v>
      </c>
      <c r="J229" s="41">
        <f>SUM(J215:J228)</f>
        <v>89717.83</v>
      </c>
      <c r="K229" s="41">
        <f t="shared" si="3"/>
        <v>13234.410000000002</v>
      </c>
      <c r="L229" s="41">
        <f t="shared" si="3"/>
        <v>5371945.5799999991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1374403.71</v>
      </c>
      <c r="G233" s="18">
        <f>578315.66+18760.69</f>
        <v>597076.35</v>
      </c>
      <c r="H233" s="18">
        <f>6990.94+715.4</f>
        <v>7706.3399999999992</v>
      </c>
      <c r="I233" s="18">
        <v>44237.69</v>
      </c>
      <c r="J233" s="18">
        <v>4036.12</v>
      </c>
      <c r="K233" s="18">
        <v>3830</v>
      </c>
      <c r="L233" s="19">
        <f>SUM(F233:K233)</f>
        <v>2031290.2100000002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800346.4+114548.02</f>
        <v>914894.42</v>
      </c>
      <c r="G234" s="18">
        <f>338444.32+33826.18</f>
        <v>372270.5</v>
      </c>
      <c r="H234" s="18">
        <f>516858.68+6188.32</f>
        <v>523047</v>
      </c>
      <c r="I234" s="18">
        <f>3500.29+1062.36</f>
        <v>4562.6499999999996</v>
      </c>
      <c r="J234" s="18">
        <f>755.99+53.9</f>
        <v>809.89</v>
      </c>
      <c r="K234" s="18">
        <v>6636.23</v>
      </c>
      <c r="L234" s="19">
        <f>SUM(F234:K234)</f>
        <v>1822220.6899999997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113952.89</v>
      </c>
      <c r="G235" s="18">
        <v>47507.1</v>
      </c>
      <c r="H235" s="18">
        <v>8850.23</v>
      </c>
      <c r="I235" s="18">
        <v>11305.09</v>
      </c>
      <c r="J235" s="18">
        <v>2847.06</v>
      </c>
      <c r="K235" s="18">
        <v>0</v>
      </c>
      <c r="L235" s="19">
        <f>SUM(F235:K235)</f>
        <v>184462.37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128129.25</v>
      </c>
      <c r="G236" s="18">
        <v>17984.75</v>
      </c>
      <c r="H236" s="18">
        <v>30619.07</v>
      </c>
      <c r="I236" s="18">
        <v>8338.36</v>
      </c>
      <c r="J236" s="18">
        <v>0</v>
      </c>
      <c r="K236" s="18">
        <v>8356.75</v>
      </c>
      <c r="L236" s="19">
        <f>SUM(F236:K236)</f>
        <v>193428.18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305027.19+726.74</f>
        <v>305753.93</v>
      </c>
      <c r="G238" s="18">
        <f>146117.25+79.93</f>
        <v>146197.18</v>
      </c>
      <c r="H238" s="18">
        <f>10005.36+50.4</f>
        <v>10055.76</v>
      </c>
      <c r="I238" s="18">
        <f>14945.23+279.97</f>
        <v>15225.199999999999</v>
      </c>
      <c r="J238" s="18">
        <v>0</v>
      </c>
      <c r="K238" s="18">
        <v>125</v>
      </c>
      <c r="L238" s="19">
        <f t="shared" ref="L238:L244" si="4">SUM(F238:K238)</f>
        <v>477357.07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58397.85+36712.02</f>
        <v>95109.87</v>
      </c>
      <c r="G239" s="18">
        <f>27327.77+9704.96-0.01</f>
        <v>37032.719999999994</v>
      </c>
      <c r="H239" s="18">
        <f>359+17645.76</f>
        <v>18004.759999999998</v>
      </c>
      <c r="I239" s="18">
        <f>11509.83+426.48</f>
        <v>11936.31</v>
      </c>
      <c r="J239" s="18">
        <v>0</v>
      </c>
      <c r="K239" s="18">
        <v>1672.72</v>
      </c>
      <c r="L239" s="19">
        <f t="shared" si="4"/>
        <v>163756.38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62013.29</v>
      </c>
      <c r="G240" s="18">
        <v>17634.47</v>
      </c>
      <c r="H240" s="18">
        <v>20695.599999999999</v>
      </c>
      <c r="I240" s="18">
        <f>1338.32-0.01</f>
        <v>1338.31</v>
      </c>
      <c r="J240" s="18">
        <v>0</v>
      </c>
      <c r="K240" s="18">
        <v>1542.93</v>
      </c>
      <c r="L240" s="19">
        <f t="shared" si="4"/>
        <v>103224.6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266080.57</v>
      </c>
      <c r="G241" s="18">
        <v>121919.4</v>
      </c>
      <c r="H241" s="18">
        <f>4120.75+2878.8</f>
        <v>6999.55</v>
      </c>
      <c r="I241" s="18">
        <v>1393.48</v>
      </c>
      <c r="J241" s="18">
        <v>0</v>
      </c>
      <c r="K241" s="18">
        <v>2158.75</v>
      </c>
      <c r="L241" s="19">
        <f t="shared" si="4"/>
        <v>398551.74999999994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82869.42</v>
      </c>
      <c r="G242" s="18">
        <v>36403.47</v>
      </c>
      <c r="H242" s="18">
        <v>36295.19</v>
      </c>
      <c r="I242" s="18">
        <v>1183.57</v>
      </c>
      <c r="J242" s="18">
        <v>375.35</v>
      </c>
      <c r="K242" s="18">
        <v>3089.92</v>
      </c>
      <c r="L242" s="19">
        <f t="shared" si="4"/>
        <v>160216.92000000004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103993.6+67492.77</f>
        <v>171486.37</v>
      </c>
      <c r="G243" s="18">
        <f>38047.8+32776.21</f>
        <v>70824.010000000009</v>
      </c>
      <c r="H243" s="18">
        <f>98771.82+26794.54</f>
        <v>125566.36000000002</v>
      </c>
      <c r="I243" s="18">
        <f>112181.32+1476.64</f>
        <v>113657.96</v>
      </c>
      <c r="J243" s="18">
        <f>238756+2791.85-0.01</f>
        <v>241547.84</v>
      </c>
      <c r="K243" s="18">
        <v>176.4</v>
      </c>
      <c r="L243" s="19">
        <f t="shared" si="4"/>
        <v>723258.94000000006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f>384051.66+185298.4</f>
        <v>569350.05999999994</v>
      </c>
      <c r="I244" s="18">
        <v>23564.09</v>
      </c>
      <c r="J244" s="18">
        <v>0</v>
      </c>
      <c r="K244" s="18">
        <v>0</v>
      </c>
      <c r="L244" s="19">
        <f t="shared" si="4"/>
        <v>592914.14999999991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40669.449999999997</v>
      </c>
      <c r="G245" s="18">
        <v>15785</v>
      </c>
      <c r="H245" s="18">
        <f>68556.46+0.01</f>
        <v>68556.47</v>
      </c>
      <c r="I245" s="18">
        <f>3256.24+31032.04</f>
        <v>34288.28</v>
      </c>
      <c r="J245" s="18">
        <f>3383.99+75623.95</f>
        <v>79007.94</v>
      </c>
      <c r="K245" s="18">
        <v>0</v>
      </c>
      <c r="L245" s="19">
        <f>SUM(F245:K245)</f>
        <v>238307.14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3555363.1700000004</v>
      </c>
      <c r="G247" s="41">
        <f t="shared" si="5"/>
        <v>1480634.9499999997</v>
      </c>
      <c r="H247" s="41">
        <f t="shared" si="5"/>
        <v>1425746.39</v>
      </c>
      <c r="I247" s="41">
        <f t="shared" si="5"/>
        <v>271030.99</v>
      </c>
      <c r="J247" s="41">
        <f t="shared" si="5"/>
        <v>328624.2</v>
      </c>
      <c r="K247" s="41">
        <f t="shared" si="5"/>
        <v>27588.700000000004</v>
      </c>
      <c r="L247" s="41">
        <f t="shared" si="5"/>
        <v>7088988.3999999994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11888770.849999998</v>
      </c>
      <c r="G257" s="41">
        <f t="shared" si="8"/>
        <v>5145294.97</v>
      </c>
      <c r="H257" s="41">
        <f t="shared" si="8"/>
        <v>3713236.88</v>
      </c>
      <c r="I257" s="41">
        <f t="shared" si="8"/>
        <v>894310.97</v>
      </c>
      <c r="J257" s="41">
        <f t="shared" si="8"/>
        <v>1162432.76</v>
      </c>
      <c r="K257" s="41">
        <f t="shared" si="8"/>
        <v>68012.47</v>
      </c>
      <c r="L257" s="41">
        <f t="shared" si="8"/>
        <v>22872058.899999999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615000</v>
      </c>
      <c r="L260" s="19">
        <f>SUM(F260:K260)</f>
        <v>615000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123900</v>
      </c>
      <c r="L261" s="19">
        <f>SUM(F261:K261)</f>
        <v>123900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24000</v>
      </c>
      <c r="L263" s="19">
        <f>SUM(F263:K263)</f>
        <v>24000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400000</v>
      </c>
      <c r="L266" s="19">
        <f t="shared" si="9"/>
        <v>400000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1162900</v>
      </c>
      <c r="L270" s="41">
        <f t="shared" si="9"/>
        <v>1162900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11888770.849999998</v>
      </c>
      <c r="G271" s="42">
        <f t="shared" si="11"/>
        <v>5145294.97</v>
      </c>
      <c r="H271" s="42">
        <f t="shared" si="11"/>
        <v>3713236.88</v>
      </c>
      <c r="I271" s="42">
        <f t="shared" si="11"/>
        <v>894310.97</v>
      </c>
      <c r="J271" s="42">
        <f t="shared" si="11"/>
        <v>1162432.76</v>
      </c>
      <c r="K271" s="42">
        <f t="shared" si="11"/>
        <v>1230912.47</v>
      </c>
      <c r="L271" s="42">
        <f t="shared" si="11"/>
        <v>24034958.899999999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241284.64</f>
        <v>241284.64</v>
      </c>
      <c r="G276" s="18">
        <f>120138.77</f>
        <v>120138.77</v>
      </c>
      <c r="H276" s="18"/>
      <c r="I276" s="18"/>
      <c r="J276" s="18"/>
      <c r="K276" s="18"/>
      <c r="L276" s="19">
        <f>SUM(F276:K276)</f>
        <v>361423.41000000003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76020.26+666.67</f>
        <v>76686.929999999993</v>
      </c>
      <c r="G277" s="18">
        <f>30167.43+151.82-0.01</f>
        <v>30319.24</v>
      </c>
      <c r="H277" s="18"/>
      <c r="I277" s="18"/>
      <c r="J277" s="18"/>
      <c r="K277" s="18"/>
      <c r="L277" s="19">
        <f>SUM(F277:K277)</f>
        <v>107006.17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2146</f>
        <v>2146</v>
      </c>
      <c r="G279" s="18">
        <v>164.17</v>
      </c>
      <c r="H279" s="18">
        <f>2302.25</f>
        <v>2302.25</v>
      </c>
      <c r="I279" s="18"/>
      <c r="J279" s="18"/>
      <c r="K279" s="18"/>
      <c r="L279" s="19">
        <f>SUM(F279:K279)</f>
        <v>4612.42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19088.49</f>
        <v>19088.490000000002</v>
      </c>
      <c r="G281" s="18">
        <f>1573.58</f>
        <v>1573.58</v>
      </c>
      <c r="H281" s="18"/>
      <c r="I281" s="18"/>
      <c r="J281" s="18"/>
      <c r="K281" s="18"/>
      <c r="L281" s="19">
        <f t="shared" ref="L281:L287" si="12">SUM(F281:K281)</f>
        <v>20662.07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27001.95</v>
      </c>
      <c r="G282" s="18">
        <v>9876.4</v>
      </c>
      <c r="H282" s="18">
        <v>40885</v>
      </c>
      <c r="I282" s="18">
        <v>5540</v>
      </c>
      <c r="J282" s="18"/>
      <c r="K282" s="18"/>
      <c r="L282" s="19">
        <f t="shared" si="12"/>
        <v>83303.350000000006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366208.01</v>
      </c>
      <c r="G290" s="42">
        <f t="shared" si="13"/>
        <v>162072.16</v>
      </c>
      <c r="H290" s="42">
        <f t="shared" si="13"/>
        <v>43187.25</v>
      </c>
      <c r="I290" s="42">
        <f t="shared" si="13"/>
        <v>5540</v>
      </c>
      <c r="J290" s="42">
        <f t="shared" si="13"/>
        <v>0</v>
      </c>
      <c r="K290" s="42">
        <f t="shared" si="13"/>
        <v>0</v>
      </c>
      <c r="L290" s="41">
        <f t="shared" si="13"/>
        <v>577007.42000000004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1250+293.33</f>
        <v>1543.33</v>
      </c>
      <c r="G296" s="18">
        <f>287.36+66.8</f>
        <v>354.16</v>
      </c>
      <c r="H296" s="18"/>
      <c r="I296" s="18"/>
      <c r="J296" s="18"/>
      <c r="K296" s="18"/>
      <c r="L296" s="19">
        <f>SUM(F296:K296)</f>
        <v>1897.49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>
        <f>1332.91</f>
        <v>1332.91</v>
      </c>
      <c r="J297" s="18">
        <f>10975</f>
        <v>10975</v>
      </c>
      <c r="K297" s="18">
        <v>750</v>
      </c>
      <c r="L297" s="19">
        <f>SUM(F297:K297)</f>
        <v>13057.91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11880.86</v>
      </c>
      <c r="G301" s="18">
        <v>4345.62</v>
      </c>
      <c r="H301" s="18">
        <v>17989.400000000001</v>
      </c>
      <c r="I301" s="18">
        <v>2437.6</v>
      </c>
      <c r="J301" s="18"/>
      <c r="K301" s="18"/>
      <c r="L301" s="19">
        <f t="shared" si="14"/>
        <v>36653.480000000003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13424.19</v>
      </c>
      <c r="G309" s="42">
        <f t="shared" si="15"/>
        <v>4699.78</v>
      </c>
      <c r="H309" s="42">
        <f t="shared" si="15"/>
        <v>17989.400000000001</v>
      </c>
      <c r="I309" s="42">
        <f t="shared" si="15"/>
        <v>3770.51</v>
      </c>
      <c r="J309" s="42">
        <f t="shared" si="15"/>
        <v>10975</v>
      </c>
      <c r="K309" s="42">
        <f t="shared" si="15"/>
        <v>750</v>
      </c>
      <c r="L309" s="41">
        <f t="shared" si="15"/>
        <v>51608.880000000005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f>45250+373.33</f>
        <v>45623.33</v>
      </c>
      <c r="G315" s="18">
        <f>30594+85.02</f>
        <v>30679.02</v>
      </c>
      <c r="H315" s="18"/>
      <c r="I315" s="18"/>
      <c r="J315" s="18"/>
      <c r="K315" s="18"/>
      <c r="L315" s="19">
        <f>SUM(F315:K315)</f>
        <v>76302.350000000006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15121.09</v>
      </c>
      <c r="G320" s="18">
        <v>5530.78</v>
      </c>
      <c r="H320" s="18">
        <v>22895.599999999999</v>
      </c>
      <c r="I320" s="18">
        <v>3102.4</v>
      </c>
      <c r="J320" s="18"/>
      <c r="K320" s="18"/>
      <c r="L320" s="19">
        <f t="shared" si="16"/>
        <v>46649.87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60744.42</v>
      </c>
      <c r="G328" s="42">
        <f t="shared" si="17"/>
        <v>36209.800000000003</v>
      </c>
      <c r="H328" s="42">
        <f t="shared" si="17"/>
        <v>22895.599999999999</v>
      </c>
      <c r="I328" s="42">
        <f t="shared" si="17"/>
        <v>3102.4</v>
      </c>
      <c r="J328" s="42">
        <f t="shared" si="17"/>
        <v>0</v>
      </c>
      <c r="K328" s="42">
        <f t="shared" si="17"/>
        <v>0</v>
      </c>
      <c r="L328" s="41">
        <f t="shared" si="17"/>
        <v>122952.22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3052.25</v>
      </c>
      <c r="G333" s="18">
        <v>698.35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3750.6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3052.25</v>
      </c>
      <c r="G337" s="41">
        <f t="shared" si="19"/>
        <v>698.35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3750.6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443428.87</v>
      </c>
      <c r="G338" s="41">
        <f t="shared" si="20"/>
        <v>203680.09</v>
      </c>
      <c r="H338" s="41">
        <f t="shared" si="20"/>
        <v>84072.25</v>
      </c>
      <c r="I338" s="41">
        <f t="shared" si="20"/>
        <v>12412.91</v>
      </c>
      <c r="J338" s="41">
        <f t="shared" si="20"/>
        <v>10975</v>
      </c>
      <c r="K338" s="41">
        <f t="shared" si="20"/>
        <v>750</v>
      </c>
      <c r="L338" s="41">
        <f t="shared" si="20"/>
        <v>755319.12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8095</v>
      </c>
      <c r="L344" s="19">
        <f t="shared" ref="L344:L350" si="21">SUM(F344:K344)</f>
        <v>8095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8095</v>
      </c>
      <c r="L351" s="41">
        <f>SUM(L341:L350)</f>
        <v>8095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443428.87</v>
      </c>
      <c r="G352" s="41">
        <f>G338</f>
        <v>203680.09</v>
      </c>
      <c r="H352" s="41">
        <f>H338</f>
        <v>84072.25</v>
      </c>
      <c r="I352" s="41">
        <f>I338</f>
        <v>12412.91</v>
      </c>
      <c r="J352" s="41">
        <f>J338</f>
        <v>10975</v>
      </c>
      <c r="K352" s="47">
        <f>K338+K351</f>
        <v>8845</v>
      </c>
      <c r="L352" s="41">
        <f>L338+L351</f>
        <v>763414.12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1349.06</v>
      </c>
      <c r="G358" s="18">
        <v>103.23</v>
      </c>
      <c r="H358" s="18">
        <v>256920.87</v>
      </c>
      <c r="I358" s="18">
        <v>6136.6</v>
      </c>
      <c r="J358" s="18">
        <v>4670.5</v>
      </c>
      <c r="K358" s="18">
        <v>96.75</v>
      </c>
      <c r="L358" s="13">
        <f>SUM(F358:K358)</f>
        <v>269277.01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593.59</v>
      </c>
      <c r="G359" s="18">
        <v>45.42</v>
      </c>
      <c r="H359" s="18">
        <v>113045.18</v>
      </c>
      <c r="I359" s="18">
        <v>2700.1</v>
      </c>
      <c r="J359" s="18">
        <v>2055.02</v>
      </c>
      <c r="K359" s="18">
        <v>42.57</v>
      </c>
      <c r="L359" s="19">
        <f>SUM(F359:K359)</f>
        <v>118481.88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755.48</v>
      </c>
      <c r="G360" s="18">
        <v>57.81</v>
      </c>
      <c r="H360" s="18">
        <v>143875.69</v>
      </c>
      <c r="I360" s="18">
        <v>3436.5</v>
      </c>
      <c r="J360" s="18">
        <v>2615.48</v>
      </c>
      <c r="K360" s="18">
        <v>54.18</v>
      </c>
      <c r="L360" s="19">
        <f>SUM(F360:K360)</f>
        <v>150795.14000000001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2698.13</v>
      </c>
      <c r="G362" s="47">
        <f t="shared" si="22"/>
        <v>206.46</v>
      </c>
      <c r="H362" s="47">
        <f t="shared" si="22"/>
        <v>513841.74</v>
      </c>
      <c r="I362" s="47">
        <f t="shared" si="22"/>
        <v>12273.2</v>
      </c>
      <c r="J362" s="47">
        <f t="shared" si="22"/>
        <v>9341</v>
      </c>
      <c r="K362" s="47">
        <f t="shared" si="22"/>
        <v>193.5</v>
      </c>
      <c r="L362" s="47">
        <f t="shared" si="22"/>
        <v>538554.03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5443.89</v>
      </c>
      <c r="G367" s="18">
        <v>2395.31</v>
      </c>
      <c r="H367" s="18">
        <v>3048.58</v>
      </c>
      <c r="I367" s="56">
        <f>SUM(F367:H367)</f>
        <v>10887.78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692.71</v>
      </c>
      <c r="G368" s="63">
        <v>304.79000000000002</v>
      </c>
      <c r="H368" s="63">
        <v>387.92</v>
      </c>
      <c r="I368" s="56">
        <f>SUM(F368:H368)</f>
        <v>1385.42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6136.6</v>
      </c>
      <c r="G369" s="47">
        <f>SUM(G367:G368)</f>
        <v>2700.1</v>
      </c>
      <c r="H369" s="47">
        <f>SUM(H367:H368)</f>
        <v>3436.5</v>
      </c>
      <c r="I369" s="47">
        <f>SUM(I367:I368)</f>
        <v>12273.2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250000</v>
      </c>
      <c r="H389" s="18">
        <f>3385.41+4.35</f>
        <v>3389.7599999999998</v>
      </c>
      <c r="I389" s="18"/>
      <c r="J389" s="24" t="s">
        <v>288</v>
      </c>
      <c r="K389" s="24" t="s">
        <v>288</v>
      </c>
      <c r="L389" s="56">
        <f t="shared" si="25"/>
        <v>253389.76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250000</v>
      </c>
      <c r="H393" s="139">
        <f>SUM(H387:H392)</f>
        <v>3389.7599999999998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253389.76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150000</v>
      </c>
      <c r="H397" s="18">
        <f>2519.02+3.5</f>
        <v>2522.52</v>
      </c>
      <c r="I397" s="18"/>
      <c r="J397" s="24" t="s">
        <v>288</v>
      </c>
      <c r="K397" s="24" t="s">
        <v>288</v>
      </c>
      <c r="L397" s="56">
        <f t="shared" si="26"/>
        <v>152522.51999999999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f>69185.03-3389.76-2522.52-31865.63</f>
        <v>31407.120000000006</v>
      </c>
      <c r="I400" s="18"/>
      <c r="J400" s="24" t="s">
        <v>288</v>
      </c>
      <c r="K400" s="24" t="s">
        <v>288</v>
      </c>
      <c r="L400" s="56">
        <f t="shared" si="26"/>
        <v>31407.120000000006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150000</v>
      </c>
      <c r="H401" s="47">
        <f>SUM(H395:H400)</f>
        <v>33929.640000000007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183929.63999999998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 t="s">
        <v>912</v>
      </c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>
        <f>2029.99+2002.49+6834.77+20235.71</f>
        <v>31102.959999999999</v>
      </c>
      <c r="I403" s="18"/>
      <c r="J403" s="24" t="s">
        <v>288</v>
      </c>
      <c r="K403" s="24" t="s">
        <v>288</v>
      </c>
      <c r="L403" s="56">
        <f>SUM(F403:K403)</f>
        <v>31102.959999999999</v>
      </c>
      <c r="M403" s="8"/>
      <c r="N403" s="272"/>
    </row>
    <row r="404" spans="1:21" s="3" customFormat="1" ht="12" customHeight="1" x14ac:dyDescent="0.15">
      <c r="A404" s="110" t="s">
        <v>913</v>
      </c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>
        <v>762.67</v>
      </c>
      <c r="I404" s="18"/>
      <c r="J404" s="24" t="s">
        <v>288</v>
      </c>
      <c r="K404" s="24" t="s">
        <v>288</v>
      </c>
      <c r="L404" s="56">
        <f>SUM(F404:K404)</f>
        <v>762.67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31865.629999999997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31865.629999999997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400000</v>
      </c>
      <c r="H408" s="47">
        <f>H393+H401+H407</f>
        <v>69185.03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469185.03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>
        <v>123814.87</v>
      </c>
      <c r="I415" s="18"/>
      <c r="J415" s="18">
        <v>23760</v>
      </c>
      <c r="K415" s="18"/>
      <c r="L415" s="56">
        <f t="shared" si="27"/>
        <v>147574.87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123814.87</v>
      </c>
      <c r="I419" s="139">
        <f t="shared" si="28"/>
        <v>0</v>
      </c>
      <c r="J419" s="139">
        <f t="shared" si="28"/>
        <v>23760</v>
      </c>
      <c r="K419" s="139">
        <f t="shared" si="28"/>
        <v>0</v>
      </c>
      <c r="L419" s="47">
        <f t="shared" si="28"/>
        <v>147574.87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>
        <f>12982.57-2822.87-0.01</f>
        <v>10159.69</v>
      </c>
      <c r="I426" s="18">
        <v>470.66</v>
      </c>
      <c r="J426" s="18">
        <v>3300</v>
      </c>
      <c r="K426" s="18"/>
      <c r="L426" s="56">
        <f t="shared" si="29"/>
        <v>13930.35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10159.69</v>
      </c>
      <c r="I427" s="47">
        <f t="shared" si="30"/>
        <v>470.66</v>
      </c>
      <c r="J427" s="47">
        <f t="shared" si="30"/>
        <v>3300</v>
      </c>
      <c r="K427" s="47">
        <f t="shared" si="30"/>
        <v>0</v>
      </c>
      <c r="L427" s="47">
        <f t="shared" si="30"/>
        <v>13930.35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912</v>
      </c>
      <c r="B429" s="6">
        <v>17</v>
      </c>
      <c r="C429" s="6">
        <v>15</v>
      </c>
      <c r="D429" s="2" t="s">
        <v>432</v>
      </c>
      <c r="E429" s="6"/>
      <c r="F429" s="18"/>
      <c r="G429" s="18"/>
      <c r="H429" s="18">
        <v>28885.03</v>
      </c>
      <c r="I429" s="18"/>
      <c r="J429" s="18"/>
      <c r="K429" s="18"/>
      <c r="L429" s="56">
        <f>SUM(F429:K429)</f>
        <v>28885.03</v>
      </c>
      <c r="M429" s="68"/>
      <c r="N429" s="227"/>
    </row>
    <row r="430" spans="1:21" s="58" customFormat="1" ht="12" customHeight="1" x14ac:dyDescent="0.15">
      <c r="A430" s="110" t="s">
        <v>913</v>
      </c>
      <c r="B430" s="6">
        <v>17</v>
      </c>
      <c r="C430" s="6">
        <v>16</v>
      </c>
      <c r="D430" s="2" t="s">
        <v>432</v>
      </c>
      <c r="E430" s="6"/>
      <c r="F430" s="18"/>
      <c r="G430" s="18"/>
      <c r="H430" s="18">
        <v>194.47</v>
      </c>
      <c r="I430" s="18"/>
      <c r="J430" s="18"/>
      <c r="K430" s="18"/>
      <c r="L430" s="56">
        <f>SUM(F430:K430)</f>
        <v>194.47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29079.5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29079.5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163054.06</v>
      </c>
      <c r="I434" s="47">
        <f t="shared" si="32"/>
        <v>470.66</v>
      </c>
      <c r="J434" s="47">
        <f t="shared" si="32"/>
        <v>27060</v>
      </c>
      <c r="K434" s="47">
        <f t="shared" si="32"/>
        <v>0</v>
      </c>
      <c r="L434" s="47">
        <f t="shared" si="32"/>
        <v>190584.72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350441.06</v>
      </c>
      <c r="G440" s="18">
        <v>1261905.07</v>
      </c>
      <c r="H440" s="18">
        <v>953935.62</v>
      </c>
      <c r="I440" s="56">
        <f t="shared" si="33"/>
        <v>2566281.75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350441.06</v>
      </c>
      <c r="G446" s="13">
        <f>SUM(G439:G445)</f>
        <v>1261905.07</v>
      </c>
      <c r="H446" s="13">
        <f>SUM(H439:H445)</f>
        <v>953935.62</v>
      </c>
      <c r="I446" s="13">
        <f>SUM(I439:I445)</f>
        <v>2566281.75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350441.06</v>
      </c>
      <c r="G456" s="18">
        <v>1261905.07</v>
      </c>
      <c r="H456" s="18">
        <v>953935.62</v>
      </c>
      <c r="I456" s="56">
        <f t="shared" si="34"/>
        <v>2566281.75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350441.06</v>
      </c>
      <c r="G460" s="83">
        <f>SUM(G454:G459)</f>
        <v>1261905.07</v>
      </c>
      <c r="H460" s="83">
        <f>SUM(H454:H459)</f>
        <v>953935.62</v>
      </c>
      <c r="I460" s="83">
        <f>SUM(I454:I459)</f>
        <v>2566281.75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350441.06</v>
      </c>
      <c r="G461" s="42">
        <f>G452+G460</f>
        <v>1261905.07</v>
      </c>
      <c r="H461" s="42">
        <f>H452+H460</f>
        <v>953935.62</v>
      </c>
      <c r="I461" s="42">
        <f>I452+I460</f>
        <v>2566281.75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1370033.74</v>
      </c>
      <c r="G465" s="18">
        <v>27405.65</v>
      </c>
      <c r="H465" s="18">
        <v>7118</v>
      </c>
      <c r="I465" s="18">
        <v>0</v>
      </c>
      <c r="J465" s="18">
        <v>2287681.44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23701772.550000001</v>
      </c>
      <c r="G468" s="18">
        <v>541039.61</v>
      </c>
      <c r="H468" s="18">
        <v>763414.12</v>
      </c>
      <c r="I468" s="18">
        <v>0</v>
      </c>
      <c r="J468" s="18">
        <v>469185.03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23701772.550000001</v>
      </c>
      <c r="G470" s="53">
        <f>SUM(G468:G469)</f>
        <v>541039.61</v>
      </c>
      <c r="H470" s="53">
        <f>SUM(H468:H469)</f>
        <v>763414.12</v>
      </c>
      <c r="I470" s="53">
        <f>SUM(I468:I469)</f>
        <v>0</v>
      </c>
      <c r="J470" s="53">
        <f>SUM(J468:J469)</f>
        <v>469185.03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24034958.899999999</v>
      </c>
      <c r="G472" s="18">
        <v>538554.03</v>
      </c>
      <c r="H472" s="18">
        <v>763414.12</v>
      </c>
      <c r="I472" s="18">
        <v>0</v>
      </c>
      <c r="J472" s="18">
        <v>190584.72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24034958.899999999</v>
      </c>
      <c r="G474" s="53">
        <f>SUM(G472:G473)</f>
        <v>538554.03</v>
      </c>
      <c r="H474" s="53">
        <f>SUM(H472:H473)</f>
        <v>763414.12</v>
      </c>
      <c r="I474" s="53">
        <f>SUM(I472:I473)</f>
        <v>0</v>
      </c>
      <c r="J474" s="53">
        <f>SUM(J472:J473)</f>
        <v>190584.72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1036847.3900000006</v>
      </c>
      <c r="G476" s="53">
        <f>(G465+G470)- G474</f>
        <v>29891.229999999981</v>
      </c>
      <c r="H476" s="53">
        <f>(H465+H470)- H474</f>
        <v>7118</v>
      </c>
      <c r="I476" s="53">
        <f>(I465+I470)- I474</f>
        <v>0</v>
      </c>
      <c r="J476" s="53">
        <f>(J465+J470)- J474</f>
        <v>2566281.7499999995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15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914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915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9247684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3690000</v>
      </c>
      <c r="G495" s="18"/>
      <c r="H495" s="18"/>
      <c r="I495" s="18"/>
      <c r="J495" s="18"/>
      <c r="K495" s="53">
        <f>SUM(F495:J495)</f>
        <v>3690000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615000</v>
      </c>
      <c r="G497" s="18"/>
      <c r="H497" s="18"/>
      <c r="I497" s="18"/>
      <c r="J497" s="18"/>
      <c r="K497" s="53">
        <f t="shared" si="35"/>
        <v>615000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3075000</v>
      </c>
      <c r="G498" s="204"/>
      <c r="H498" s="204"/>
      <c r="I498" s="204"/>
      <c r="J498" s="204"/>
      <c r="K498" s="205">
        <f t="shared" si="35"/>
        <v>3075000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213624.26</v>
      </c>
      <c r="G499" s="18"/>
      <c r="H499" s="18"/>
      <c r="I499" s="18"/>
      <c r="J499" s="18"/>
      <c r="K499" s="53">
        <f t="shared" si="35"/>
        <v>213624.26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3288624.26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3288624.26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615000</v>
      </c>
      <c r="G501" s="204"/>
      <c r="H501" s="204"/>
      <c r="I501" s="204"/>
      <c r="J501" s="204"/>
      <c r="K501" s="205">
        <f t="shared" si="35"/>
        <v>615000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93150</v>
      </c>
      <c r="G502" s="18"/>
      <c r="H502" s="18"/>
      <c r="I502" s="18"/>
      <c r="J502" s="18"/>
      <c r="K502" s="53">
        <f t="shared" si="35"/>
        <v>93150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708150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708150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>
        <v>1315836.73</v>
      </c>
      <c r="G507" s="144">
        <v>2048.08</v>
      </c>
      <c r="H507" s="144"/>
      <c r="I507" s="144">
        <v>1317884.81</v>
      </c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>
        <v>750120.15</v>
      </c>
      <c r="G511" s="24" t="s">
        <v>288</v>
      </c>
      <c r="H511" s="18">
        <v>750120.15</v>
      </c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>
        <v>131796</v>
      </c>
      <c r="G512" s="24" t="s">
        <v>288</v>
      </c>
      <c r="H512" s="18">
        <v>222220.4</v>
      </c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>
        <v>25222853.620000001</v>
      </c>
      <c r="G513" s="24" t="s">
        <v>288</v>
      </c>
      <c r="H513" s="18">
        <v>26127892.239999998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>
        <v>1283045.95</v>
      </c>
      <c r="G514" s="24" t="s">
        <v>288</v>
      </c>
      <c r="H514" s="18">
        <v>1301507.96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>
        <v>0</v>
      </c>
      <c r="G515" s="24" t="s">
        <v>288</v>
      </c>
      <c r="H515" s="18">
        <v>0</v>
      </c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>
        <v>27387815.719999999</v>
      </c>
      <c r="H516" s="24" t="s">
        <v>288</v>
      </c>
      <c r="I516" s="18">
        <v>28401740.75</v>
      </c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27387815.719999999</v>
      </c>
      <c r="G517" s="42">
        <f>SUM(G511:G516)</f>
        <v>27387815.719999999</v>
      </c>
      <c r="H517" s="42">
        <f>SUM(H511:H516)</f>
        <v>28401740.75</v>
      </c>
      <c r="I517" s="42">
        <f>SUM(I511:I516)</f>
        <v>28401740.75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1186015.49+76020.26+666.67</f>
        <v>1262702.42</v>
      </c>
      <c r="G521" s="18">
        <f>555416.31+30167.43+151.81</f>
        <v>585735.55000000016</v>
      </c>
      <c r="H521" s="18">
        <f>108828.91</f>
        <v>108828.91</v>
      </c>
      <c r="I521" s="18">
        <f>8650.46</f>
        <v>8650.4599999999991</v>
      </c>
      <c r="J521" s="18">
        <f>1143.59</f>
        <v>1143.5899999999999</v>
      </c>
      <c r="K521" s="18">
        <v>0</v>
      </c>
      <c r="L521" s="88">
        <f>SUM(F521:K521)</f>
        <v>1967060.9300000002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487770.09+1250+293.33</f>
        <v>489313.42000000004</v>
      </c>
      <c r="G522" s="18">
        <f>258948.64+287.36+66.8</f>
        <v>259302.8</v>
      </c>
      <c r="H522" s="18">
        <f>594569.95</f>
        <v>594569.94999999995</v>
      </c>
      <c r="I522" s="18">
        <f>5013.16</f>
        <v>5013.16</v>
      </c>
      <c r="J522" s="18">
        <f>70</f>
        <v>70</v>
      </c>
      <c r="K522" s="18">
        <v>0</v>
      </c>
      <c r="L522" s="88">
        <f>SUM(F522:K522)</f>
        <v>1348269.3299999998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805318.4+45250+373.33</f>
        <v>850941.73</v>
      </c>
      <c r="G523" s="18">
        <f>339476.72+30594+85.02</f>
        <v>370155.74</v>
      </c>
      <c r="H523" s="18">
        <f>516858.68</f>
        <v>516858.68</v>
      </c>
      <c r="I523" s="18">
        <f>3500.29</f>
        <v>3500.29</v>
      </c>
      <c r="J523" s="18">
        <f>755.99</f>
        <v>755.99</v>
      </c>
      <c r="K523" s="18">
        <v>0</v>
      </c>
      <c r="L523" s="88">
        <f>SUM(F523:K523)</f>
        <v>1742212.43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2602957.5699999998</v>
      </c>
      <c r="G524" s="108">
        <f t="shared" ref="G524:L524" si="36">SUM(G521:G523)</f>
        <v>1215194.0900000001</v>
      </c>
      <c r="H524" s="108">
        <f t="shared" si="36"/>
        <v>1220257.54</v>
      </c>
      <c r="I524" s="108">
        <f t="shared" si="36"/>
        <v>17163.91</v>
      </c>
      <c r="J524" s="108">
        <f t="shared" si="36"/>
        <v>1969.58</v>
      </c>
      <c r="K524" s="108">
        <f t="shared" si="36"/>
        <v>0</v>
      </c>
      <c r="L524" s="89">
        <f t="shared" si="36"/>
        <v>5057542.6899999995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121754.77+27001.95</f>
        <v>148756.72</v>
      </c>
      <c r="G526" s="18">
        <f>60930.27+9876.4</f>
        <v>70806.67</v>
      </c>
      <c r="H526" s="18">
        <f>35113.87+40885</f>
        <v>75998.87</v>
      </c>
      <c r="I526" s="18">
        <f>7341.3+5540</f>
        <v>12881.3</v>
      </c>
      <c r="J526" s="18">
        <v>0</v>
      </c>
      <c r="K526" s="18">
        <v>4000</v>
      </c>
      <c r="L526" s="88">
        <f>SUM(F526:K526)</f>
        <v>312443.56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121742.74+11880.86</f>
        <v>133623.6</v>
      </c>
      <c r="G527" s="18">
        <f>60924.62+4345.62</f>
        <v>65270.240000000005</v>
      </c>
      <c r="H527" s="18">
        <f>8968.86+17989.4</f>
        <v>26958.260000000002</v>
      </c>
      <c r="I527" s="18">
        <f>1397.32+2437.6</f>
        <v>3834.92</v>
      </c>
      <c r="J527" s="18">
        <v>0</v>
      </c>
      <c r="K527" s="18">
        <v>1760</v>
      </c>
      <c r="L527" s="88">
        <f>SUM(F527:K527)</f>
        <v>231447.02000000005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130636.99+15121.09</f>
        <v>145758.08000000002</v>
      </c>
      <c r="G528" s="18">
        <f>66025.02+5530.78</f>
        <v>71555.8</v>
      </c>
      <c r="H528" s="18">
        <f>8968.86+22895.6</f>
        <v>31864.46</v>
      </c>
      <c r="I528" s="18">
        <f>2069.41+3102.4</f>
        <v>5171.8099999999995</v>
      </c>
      <c r="J528" s="18">
        <v>0</v>
      </c>
      <c r="K528" s="18">
        <v>2240</v>
      </c>
      <c r="L528" s="88">
        <f>SUM(F528:K528)</f>
        <v>256590.15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428138.4</v>
      </c>
      <c r="G529" s="89">
        <f t="shared" ref="G529:L529" si="37">SUM(G526:G528)</f>
        <v>207632.71000000002</v>
      </c>
      <c r="H529" s="89">
        <f t="shared" si="37"/>
        <v>134821.59</v>
      </c>
      <c r="I529" s="89">
        <f t="shared" si="37"/>
        <v>21888.03</v>
      </c>
      <c r="J529" s="89">
        <f t="shared" si="37"/>
        <v>0</v>
      </c>
      <c r="K529" s="89">
        <f t="shared" si="37"/>
        <v>8000</v>
      </c>
      <c r="L529" s="89">
        <f t="shared" si="37"/>
        <v>800480.7300000001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170397.09</f>
        <v>170397.09</v>
      </c>
      <c r="G531" s="18">
        <f>57791.18</f>
        <v>57791.18</v>
      </c>
      <c r="H531" s="18">
        <v>14670.38</v>
      </c>
      <c r="I531" s="18">
        <v>1647.58</v>
      </c>
      <c r="J531" s="18">
        <v>96.24</v>
      </c>
      <c r="K531" s="18">
        <v>11080.41</v>
      </c>
      <c r="L531" s="88">
        <f>SUM(F531:K531)</f>
        <v>255682.87999999998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74974.72</f>
        <v>74974.720000000001</v>
      </c>
      <c r="G532" s="18">
        <f>25428.12</f>
        <v>25428.12</v>
      </c>
      <c r="H532" s="18">
        <v>6454.97</v>
      </c>
      <c r="I532" s="18">
        <v>724.93</v>
      </c>
      <c r="J532" s="18">
        <v>42.35</v>
      </c>
      <c r="K532" s="18">
        <v>4875.38</v>
      </c>
      <c r="L532" s="88">
        <f>SUM(F532:K532)</f>
        <v>112500.47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95422.37</f>
        <v>95422.37</v>
      </c>
      <c r="G533" s="18">
        <f>32363.06</f>
        <v>32363.06</v>
      </c>
      <c r="H533" s="18">
        <v>8215.41</v>
      </c>
      <c r="I533" s="18">
        <v>922.64</v>
      </c>
      <c r="J533" s="18">
        <v>53.9</v>
      </c>
      <c r="K533" s="18">
        <v>6205.03</v>
      </c>
      <c r="L533" s="88">
        <f>SUM(F533:K533)</f>
        <v>143182.41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340794.18</v>
      </c>
      <c r="G534" s="89">
        <f t="shared" ref="G534:L534" si="38">SUM(G531:G533)</f>
        <v>115582.36</v>
      </c>
      <c r="H534" s="89">
        <f t="shared" si="38"/>
        <v>29340.76</v>
      </c>
      <c r="I534" s="89">
        <f t="shared" si="38"/>
        <v>3295.1499999999996</v>
      </c>
      <c r="J534" s="89">
        <f t="shared" si="38"/>
        <v>192.49</v>
      </c>
      <c r="K534" s="89">
        <f t="shared" si="38"/>
        <v>22160.82</v>
      </c>
      <c r="L534" s="89">
        <f t="shared" si="38"/>
        <v>511365.76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649.65</v>
      </c>
      <c r="I536" s="18"/>
      <c r="J536" s="18"/>
      <c r="K536" s="18"/>
      <c r="L536" s="88">
        <f>SUM(F536:K536)</f>
        <v>649.65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285.83999999999997</v>
      </c>
      <c r="I537" s="18"/>
      <c r="J537" s="18"/>
      <c r="K537" s="18"/>
      <c r="L537" s="88">
        <f>SUM(F537:K537)</f>
        <v>285.83999999999997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363.8</v>
      </c>
      <c r="I538" s="18"/>
      <c r="J538" s="18"/>
      <c r="K538" s="18"/>
      <c r="L538" s="88">
        <f>SUM(F538:K538)</f>
        <v>363.8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1299.29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1299.29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155316.69</v>
      </c>
      <c r="I541" s="18"/>
      <c r="J541" s="18"/>
      <c r="K541" s="18"/>
      <c r="L541" s="88">
        <f>SUM(F541:K541)</f>
        <v>155316.69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113985.65</v>
      </c>
      <c r="I542" s="18"/>
      <c r="J542" s="18"/>
      <c r="K542" s="18"/>
      <c r="L542" s="88">
        <f>SUM(F542:K542)</f>
        <v>113985.65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221404.66</v>
      </c>
      <c r="I543" s="18"/>
      <c r="J543" s="18"/>
      <c r="K543" s="18"/>
      <c r="L543" s="88">
        <f>SUM(F543:K543)</f>
        <v>221404.66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490707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490707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3371890.15</v>
      </c>
      <c r="G545" s="89">
        <f t="shared" ref="G545:L545" si="41">G524+G529+G534+G539+G544</f>
        <v>1538409.1600000001</v>
      </c>
      <c r="H545" s="89">
        <f t="shared" si="41"/>
        <v>1876426.1800000002</v>
      </c>
      <c r="I545" s="89">
        <f t="shared" si="41"/>
        <v>42347.090000000004</v>
      </c>
      <c r="J545" s="89">
        <f t="shared" si="41"/>
        <v>2162.0699999999997</v>
      </c>
      <c r="K545" s="89">
        <f t="shared" si="41"/>
        <v>30160.82</v>
      </c>
      <c r="L545" s="89">
        <f t="shared" si="41"/>
        <v>6861395.4699999997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1967060.9300000002</v>
      </c>
      <c r="G549" s="87">
        <f>L526</f>
        <v>312443.56</v>
      </c>
      <c r="H549" s="87">
        <f>L531</f>
        <v>255682.87999999998</v>
      </c>
      <c r="I549" s="87">
        <f>L536</f>
        <v>649.65</v>
      </c>
      <c r="J549" s="87">
        <f>L541</f>
        <v>155316.69</v>
      </c>
      <c r="K549" s="87">
        <f>SUM(F549:J549)</f>
        <v>2691153.71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1348269.3299999998</v>
      </c>
      <c r="G550" s="87">
        <f>L527</f>
        <v>231447.02000000005</v>
      </c>
      <c r="H550" s="87">
        <f>L532</f>
        <v>112500.47</v>
      </c>
      <c r="I550" s="87">
        <f>L537</f>
        <v>285.83999999999997</v>
      </c>
      <c r="J550" s="87">
        <f>L542</f>
        <v>113985.65</v>
      </c>
      <c r="K550" s="87">
        <f>SUM(F550:J550)</f>
        <v>1806488.3099999998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1742212.43</v>
      </c>
      <c r="G551" s="87">
        <f>L528</f>
        <v>256590.15</v>
      </c>
      <c r="H551" s="87">
        <f>L533</f>
        <v>143182.41</v>
      </c>
      <c r="I551" s="87">
        <f>L538</f>
        <v>363.8</v>
      </c>
      <c r="J551" s="87">
        <f>L543</f>
        <v>221404.66</v>
      </c>
      <c r="K551" s="87">
        <f>SUM(F551:J551)</f>
        <v>2363753.4499999997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5057542.6899999995</v>
      </c>
      <c r="G552" s="89">
        <f t="shared" si="42"/>
        <v>800480.7300000001</v>
      </c>
      <c r="H552" s="89">
        <f t="shared" si="42"/>
        <v>511365.76</v>
      </c>
      <c r="I552" s="89">
        <f t="shared" si="42"/>
        <v>1299.29</v>
      </c>
      <c r="J552" s="89">
        <f t="shared" si="42"/>
        <v>490707</v>
      </c>
      <c r="K552" s="89">
        <f t="shared" si="42"/>
        <v>6861395.4699999988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1297.75</v>
      </c>
      <c r="G562" s="18">
        <v>142.72999999999999</v>
      </c>
      <c r="H562" s="18">
        <v>90</v>
      </c>
      <c r="I562" s="18"/>
      <c r="J562" s="18"/>
      <c r="K562" s="18"/>
      <c r="L562" s="88">
        <f>SUM(F562:K562)</f>
        <v>1530.48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571.01</v>
      </c>
      <c r="G563" s="18">
        <v>62.8</v>
      </c>
      <c r="H563" s="18">
        <v>39.6</v>
      </c>
      <c r="I563" s="18"/>
      <c r="J563" s="18"/>
      <c r="K563" s="18"/>
      <c r="L563" s="88">
        <f>SUM(F563:K563)</f>
        <v>673.41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726.74</v>
      </c>
      <c r="G564" s="18">
        <v>79.930000000000007</v>
      </c>
      <c r="H564" s="18">
        <v>50.4</v>
      </c>
      <c r="I564" s="18"/>
      <c r="J564" s="18"/>
      <c r="K564" s="18"/>
      <c r="L564" s="88">
        <f>SUM(F564:K564)</f>
        <v>857.07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2595.5</v>
      </c>
      <c r="G565" s="89">
        <f t="shared" si="44"/>
        <v>285.45999999999998</v>
      </c>
      <c r="H565" s="89">
        <f t="shared" si="44"/>
        <v>180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3060.96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34152.949999999997</v>
      </c>
      <c r="G567" s="18">
        <v>2612.71</v>
      </c>
      <c r="H567" s="18">
        <v>1390.19</v>
      </c>
      <c r="I567" s="18">
        <v>249.51</v>
      </c>
      <c r="J567" s="18">
        <v>0</v>
      </c>
      <c r="K567" s="18">
        <v>770</v>
      </c>
      <c r="L567" s="88">
        <f>SUM(F567:K567)</f>
        <v>39175.360000000001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15027.3</v>
      </c>
      <c r="G568" s="18">
        <v>1149.5899999999999</v>
      </c>
      <c r="H568" s="18">
        <v>611.67999999999995</v>
      </c>
      <c r="I568" s="18">
        <v>109.78</v>
      </c>
      <c r="J568" s="18">
        <v>0</v>
      </c>
      <c r="K568" s="18">
        <v>338.8</v>
      </c>
      <c r="L568" s="88">
        <f>SUM(F568:K568)</f>
        <v>17237.149999999998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>
        <v>19125.650000000001</v>
      </c>
      <c r="G569" s="18">
        <v>1463.12</v>
      </c>
      <c r="H569" s="18">
        <v>778.5</v>
      </c>
      <c r="I569" s="18">
        <v>139.72</v>
      </c>
      <c r="J569" s="18">
        <v>0</v>
      </c>
      <c r="K569" s="18">
        <v>431.2</v>
      </c>
      <c r="L569" s="88">
        <f>SUM(F569:K569)</f>
        <v>21938.190000000002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68305.899999999994</v>
      </c>
      <c r="G570" s="193">
        <f t="shared" ref="G570:L570" si="45">SUM(G567:G569)</f>
        <v>5225.42</v>
      </c>
      <c r="H570" s="193">
        <f t="shared" si="45"/>
        <v>2780.37</v>
      </c>
      <c r="I570" s="193">
        <f t="shared" si="45"/>
        <v>499.01</v>
      </c>
      <c r="J570" s="193">
        <f t="shared" si="45"/>
        <v>0</v>
      </c>
      <c r="K570" s="193">
        <f t="shared" si="45"/>
        <v>1540</v>
      </c>
      <c r="L570" s="193">
        <f t="shared" si="45"/>
        <v>78350.7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70901.399999999994</v>
      </c>
      <c r="G571" s="89">
        <f t="shared" ref="G571:L571" si="46">G560+G565+G570</f>
        <v>5510.88</v>
      </c>
      <c r="H571" s="89">
        <f t="shared" si="46"/>
        <v>2960.37</v>
      </c>
      <c r="I571" s="89">
        <f t="shared" si="46"/>
        <v>499.01</v>
      </c>
      <c r="J571" s="89">
        <f t="shared" si="46"/>
        <v>0</v>
      </c>
      <c r="K571" s="89">
        <f t="shared" si="46"/>
        <v>1540</v>
      </c>
      <c r="L571" s="89">
        <f t="shared" si="46"/>
        <v>81411.66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ref="I577:I587" si="47">SUM(F577:H577)</f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>
        <v>777.99</v>
      </c>
      <c r="H578" s="18"/>
      <c r="I578" s="87">
        <f t="shared" si="47"/>
        <v>777.99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100356.15</v>
      </c>
      <c r="G580" s="18">
        <v>53347.29</v>
      </c>
      <c r="H580" s="18">
        <v>80896.42</v>
      </c>
      <c r="I580" s="87">
        <f>SUM(F580:H580)</f>
        <v>234599.86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5910.26</v>
      </c>
      <c r="G582" s="18">
        <v>315012.87</v>
      </c>
      <c r="H582" s="18">
        <v>369035.12</v>
      </c>
      <c r="I582" s="87">
        <f t="shared" si="47"/>
        <v>689958.25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>
        <v>194814.79</v>
      </c>
      <c r="H583" s="18">
        <v>20379.64</v>
      </c>
      <c r="I583" s="87">
        <f t="shared" si="47"/>
        <v>215194.43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7982.23</v>
      </c>
      <c r="I584" s="87">
        <f t="shared" si="47"/>
        <v>7982.23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372968.73</v>
      </c>
      <c r="I591" s="18">
        <v>164106.23999999999</v>
      </c>
      <c r="J591" s="18">
        <v>208862.49</v>
      </c>
      <c r="K591" s="104">
        <f t="shared" ref="K591:K597" si="48">SUM(H591:J591)</f>
        <v>745937.46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155316.69</v>
      </c>
      <c r="I592" s="18">
        <v>113985.65</v>
      </c>
      <c r="J592" s="18">
        <v>221404.66</v>
      </c>
      <c r="K592" s="104">
        <f t="shared" si="48"/>
        <v>490707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117528</v>
      </c>
      <c r="K593" s="104">
        <f t="shared" si="48"/>
        <v>117528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7494.5</v>
      </c>
      <c r="J594" s="18">
        <v>42661.5</v>
      </c>
      <c r="K594" s="104">
        <f t="shared" si="48"/>
        <v>50156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7153+5440.5</f>
        <v>12593.5</v>
      </c>
      <c r="I595" s="18">
        <v>8182</v>
      </c>
      <c r="J595" s="18">
        <v>2457.5</v>
      </c>
      <c r="K595" s="104">
        <f t="shared" si="48"/>
        <v>23233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540878.91999999993</v>
      </c>
      <c r="I598" s="108">
        <f>SUM(I591:I597)</f>
        <v>293768.39</v>
      </c>
      <c r="J598" s="108">
        <f>SUM(J591:J597)</f>
        <v>592914.15</v>
      </c>
      <c r="K598" s="108">
        <f>SUM(K591:K597)</f>
        <v>1427561.46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749578.23</v>
      </c>
      <c r="I604" s="18">
        <v>92132.33</v>
      </c>
      <c r="J604" s="18">
        <v>331697.2</v>
      </c>
      <c r="K604" s="104">
        <f>SUM(H604:J604)</f>
        <v>1173407.76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749578.23</v>
      </c>
      <c r="I605" s="108">
        <f>SUM(I602:I604)</f>
        <v>92132.33</v>
      </c>
      <c r="J605" s="108">
        <f>SUM(J602:J604)</f>
        <v>331697.2</v>
      </c>
      <c r="K605" s="108">
        <f>SUM(K602:K604)</f>
        <v>1173407.76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57374.75</v>
      </c>
      <c r="G611" s="18">
        <v>11191.38</v>
      </c>
      <c r="H611" s="18">
        <v>1151.1199999999999</v>
      </c>
      <c r="I611" s="18">
        <v>77.790000000000006</v>
      </c>
      <c r="J611" s="18"/>
      <c r="K611" s="18"/>
      <c r="L611" s="88">
        <f>SUM(F611:K611)</f>
        <v>69795.039999999994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19500.87</v>
      </c>
      <c r="G612" s="18">
        <v>3202.62</v>
      </c>
      <c r="H612" s="18">
        <v>506.5</v>
      </c>
      <c r="I612" s="18"/>
      <c r="J612" s="18"/>
      <c r="K612" s="18"/>
      <c r="L612" s="88">
        <f>SUM(F612:K612)</f>
        <v>23209.989999999998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5572.88</v>
      </c>
      <c r="G613" s="18">
        <v>1078.3699999999999</v>
      </c>
      <c r="H613" s="18">
        <v>644.63</v>
      </c>
      <c r="I613" s="18"/>
      <c r="J613" s="18"/>
      <c r="K613" s="18"/>
      <c r="L613" s="88">
        <f>SUM(F613:K613)</f>
        <v>7295.88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82448.5</v>
      </c>
      <c r="G614" s="108">
        <f t="shared" si="49"/>
        <v>15472.369999999999</v>
      </c>
      <c r="H614" s="108">
        <f t="shared" si="49"/>
        <v>2302.25</v>
      </c>
      <c r="I614" s="108">
        <f t="shared" si="49"/>
        <v>77.790000000000006</v>
      </c>
      <c r="J614" s="108">
        <f t="shared" si="49"/>
        <v>0</v>
      </c>
      <c r="K614" s="108">
        <f t="shared" si="49"/>
        <v>0</v>
      </c>
      <c r="L614" s="89">
        <f t="shared" si="49"/>
        <v>100300.91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1250650.1000000001</v>
      </c>
      <c r="H617" s="109">
        <f>SUM(F52)</f>
        <v>1250650.1000000001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45739.92</v>
      </c>
      <c r="H618" s="109">
        <f>SUM(G52)</f>
        <v>45739.92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175452.84</v>
      </c>
      <c r="H619" s="109">
        <f>SUM(H52)</f>
        <v>175452.84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2566281.75</v>
      </c>
      <c r="H621" s="109">
        <f>SUM(J52)</f>
        <v>2566281.75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1036847.39</v>
      </c>
      <c r="H622" s="109">
        <f>F476</f>
        <v>1036847.3900000006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29891.23</v>
      </c>
      <c r="H623" s="109">
        <f>G476</f>
        <v>29891.229999999981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7118</v>
      </c>
      <c r="H624" s="109">
        <f>H476</f>
        <v>7118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2566281.75</v>
      </c>
      <c r="H626" s="109">
        <f>J476</f>
        <v>2566281.7499999995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23701772.550000001</v>
      </c>
      <c r="H627" s="104">
        <f>SUM(F468)</f>
        <v>23701772.550000001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541039.61</v>
      </c>
      <c r="H628" s="104">
        <f>SUM(G468)</f>
        <v>541039.61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763414.12</v>
      </c>
      <c r="H629" s="104">
        <f>SUM(H468)</f>
        <v>763414.12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469185.03</v>
      </c>
      <c r="H631" s="104">
        <f>SUM(J468)</f>
        <v>469185.03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24034958.899999999</v>
      </c>
      <c r="H632" s="104">
        <f>SUM(F472)</f>
        <v>24034958.899999999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763414.12</v>
      </c>
      <c r="H633" s="104">
        <f>SUM(H472)</f>
        <v>763414.12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12273.2</v>
      </c>
      <c r="H634" s="104">
        <f>I369</f>
        <v>12273.2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538554.03</v>
      </c>
      <c r="H635" s="104">
        <f>SUM(G472)</f>
        <v>538554.03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469185.03</v>
      </c>
      <c r="H637" s="164">
        <f>SUM(J468)</f>
        <v>469185.03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190584.72</v>
      </c>
      <c r="H638" s="164">
        <f>SUM(J472)</f>
        <v>190584.72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350441.06</v>
      </c>
      <c r="H639" s="104">
        <f>SUM(F461)</f>
        <v>350441.06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1261905.07</v>
      </c>
      <c r="H640" s="104">
        <f>SUM(G461)</f>
        <v>1261905.07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953935.62</v>
      </c>
      <c r="H641" s="104">
        <f>SUM(H461)</f>
        <v>953935.62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2566281.75</v>
      </c>
      <c r="H642" s="104">
        <f>SUM(I461)</f>
        <v>2566281.75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69185.03</v>
      </c>
      <c r="H644" s="104">
        <f>H408</f>
        <v>69185.03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400000</v>
      </c>
      <c r="H645" s="104">
        <f>G408</f>
        <v>400000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469185.03</v>
      </c>
      <c r="H646" s="104">
        <f>L408</f>
        <v>469185.03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1427561.46</v>
      </c>
      <c r="H647" s="104">
        <f>L208+L226+L244</f>
        <v>1427561.46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1173407.76</v>
      </c>
      <c r="H648" s="104">
        <f>(J257+J338)-(J255+J336)</f>
        <v>1173407.76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540878.92000000004</v>
      </c>
      <c r="H649" s="104">
        <f>H598</f>
        <v>540878.91999999993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293768.39</v>
      </c>
      <c r="H650" s="104">
        <f>I598</f>
        <v>293768.39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592914.14999999991</v>
      </c>
      <c r="H651" s="104">
        <f>J598</f>
        <v>592914.15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24000</v>
      </c>
      <c r="H652" s="104">
        <f>K263+K345</f>
        <v>24000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400000</v>
      </c>
      <c r="H655" s="104">
        <f>K266+K347</f>
        <v>400000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11257409.35</v>
      </c>
      <c r="G660" s="19">
        <f>(L229+L309+L359)</f>
        <v>5542036.3399999989</v>
      </c>
      <c r="H660" s="19">
        <f>(L247+L328+L360)</f>
        <v>7362735.7599999988</v>
      </c>
      <c r="I660" s="19">
        <f>SUM(F660:H660)</f>
        <v>24162181.449999996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125051.16767801996</v>
      </c>
      <c r="G661" s="19">
        <f>(L359/IF(SUM(L358:L360)=0,1,SUM(L358:L360))*(SUM(G97:G110)))</f>
        <v>55022.511734986365</v>
      </c>
      <c r="H661" s="19">
        <f>(L360/IF(SUM(L358:L360)=0,1,SUM(L358:L360))*(SUM(G97:G110)))</f>
        <v>70028.660586993661</v>
      </c>
      <c r="I661" s="19">
        <f>SUM(F661:H661)</f>
        <v>250102.33999999997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540878.92000000004</v>
      </c>
      <c r="G662" s="19">
        <f>(L226+L306)-(J226+J306)</f>
        <v>293768.39</v>
      </c>
      <c r="H662" s="19">
        <f>(L244+L325)-(J244+J325)</f>
        <v>592914.14999999991</v>
      </c>
      <c r="I662" s="19">
        <f>SUM(F662:H662)</f>
        <v>1427561.46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925639.68000000005</v>
      </c>
      <c r="G663" s="199">
        <f>SUM(G575:G587)+SUM(I602:I604)+L612</f>
        <v>679295.26</v>
      </c>
      <c r="H663" s="199">
        <f>SUM(H575:H587)+SUM(J602:J604)+L613</f>
        <v>817286.49</v>
      </c>
      <c r="I663" s="19">
        <f>SUM(F663:H663)</f>
        <v>2422221.4299999997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9665839.5823219791</v>
      </c>
      <c r="G664" s="19">
        <f>G660-SUM(G661:G663)</f>
        <v>4513950.1782650128</v>
      </c>
      <c r="H664" s="19">
        <f>H660-SUM(H661:H663)</f>
        <v>5882506.459413005</v>
      </c>
      <c r="I664" s="19">
        <f>I660-SUM(I661:I663)</f>
        <v>20062296.219999995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683.91</v>
      </c>
      <c r="G665" s="248">
        <v>305.17</v>
      </c>
      <c r="H665" s="248">
        <v>384.94</v>
      </c>
      <c r="I665" s="19">
        <f>SUM(F665:H665)</f>
        <v>1374.02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14133.2</v>
      </c>
      <c r="G667" s="19">
        <f>ROUND(G664/G665,2)</f>
        <v>14791.59</v>
      </c>
      <c r="H667" s="19">
        <f>ROUND(H664/H665,2)</f>
        <v>15281.62</v>
      </c>
      <c r="I667" s="19">
        <f>ROUND(I664/I665,2)</f>
        <v>14601.17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-1.39</v>
      </c>
      <c r="I670" s="19">
        <f>SUM(F670:H670)</f>
        <v>-1.39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14133.2</v>
      </c>
      <c r="G672" s="19">
        <f>ROUND((G664+G669)/(G665+G670),2)</f>
        <v>14791.59</v>
      </c>
      <c r="H672" s="19">
        <f>ROUND((H664+H669)/(H665+H670),2)</f>
        <v>15337</v>
      </c>
      <c r="I672" s="19">
        <f>ROUND((I664+I669)/(I665+I670),2)</f>
        <v>14615.95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4" sqref="A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Jaffrey-Rindge Cooperative School District (SAU 47)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5208216.13</v>
      </c>
      <c r="C9" s="229">
        <f>'DOE25'!G197+'DOE25'!G215+'DOE25'!G233+'DOE25'!G276+'DOE25'!G295+'DOE25'!G314</f>
        <v>2328991.44</v>
      </c>
    </row>
    <row r="10" spans="1:3" x14ac:dyDescent="0.2">
      <c r="A10" t="s">
        <v>778</v>
      </c>
      <c r="B10" s="240">
        <v>5033621.51</v>
      </c>
      <c r="C10" s="240">
        <v>2315634.9500000002</v>
      </c>
    </row>
    <row r="11" spans="1:3" x14ac:dyDescent="0.2">
      <c r="A11" t="s">
        <v>779</v>
      </c>
      <c r="B11" s="240">
        <v>0</v>
      </c>
      <c r="C11" s="240">
        <v>0</v>
      </c>
    </row>
    <row r="12" spans="1:3" x14ac:dyDescent="0.2">
      <c r="A12" t="s">
        <v>780</v>
      </c>
      <c r="B12" s="240">
        <f>957+90536.58+81735.72+1365.32</f>
        <v>174594.62</v>
      </c>
      <c r="C12" s="240">
        <v>13356.49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5208216.13</v>
      </c>
      <c r="C13" s="231">
        <f>SUM(C10:C12)</f>
        <v>2328991.4400000004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2983721.1500000004</v>
      </c>
      <c r="C18" s="229">
        <f>'DOE25'!G198+'DOE25'!G216+'DOE25'!G234+'DOE25'!G277+'DOE25'!G296+'DOE25'!G315</f>
        <v>1331090.83</v>
      </c>
    </row>
    <row r="19" spans="1:3" x14ac:dyDescent="0.2">
      <c r="A19" t="s">
        <v>778</v>
      </c>
      <c r="B19" s="240">
        <v>1629642.4</v>
      </c>
      <c r="C19" s="240">
        <f>124667.64+255364.96+441245.62</f>
        <v>821278.22</v>
      </c>
    </row>
    <row r="20" spans="1:3" x14ac:dyDescent="0.2">
      <c r="A20" t="s">
        <v>779</v>
      </c>
      <c r="B20" s="240">
        <v>872718.36</v>
      </c>
      <c r="C20" s="240">
        <f>66762.95+75022.67+237593.79</f>
        <v>379379.41000000003</v>
      </c>
    </row>
    <row r="21" spans="1:3" x14ac:dyDescent="0.2">
      <c r="A21" t="s">
        <v>780</v>
      </c>
      <c r="B21" s="240">
        <v>481360.39</v>
      </c>
      <c r="C21" s="240">
        <f>36824.07+115582.36-21973.23</f>
        <v>130433.2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2983721.15</v>
      </c>
      <c r="C22" s="231">
        <f>SUM(C19:C21)</f>
        <v>1331090.8299999998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256329.15000000002</v>
      </c>
      <c r="C27" s="234">
        <f>'DOE25'!G199+'DOE25'!G217+'DOE25'!G235+'DOE25'!G278+'DOE25'!G297+'DOE25'!G316</f>
        <v>106676.83</v>
      </c>
    </row>
    <row r="28" spans="1:3" x14ac:dyDescent="0.2">
      <c r="A28" t="s">
        <v>778</v>
      </c>
      <c r="B28" s="240">
        <v>239976.26</v>
      </c>
      <c r="C28" s="240">
        <v>105425.83</v>
      </c>
    </row>
    <row r="29" spans="1:3" x14ac:dyDescent="0.2">
      <c r="A29" t="s">
        <v>779</v>
      </c>
      <c r="B29" s="240">
        <v>16352.89</v>
      </c>
      <c r="C29" s="240">
        <v>1251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256329.15000000002</v>
      </c>
      <c r="C31" s="231">
        <f>SUM(C28:C30)</f>
        <v>106676.83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271843.02</v>
      </c>
      <c r="C36" s="235">
        <f>'DOE25'!G200+'DOE25'!G218+'DOE25'!G236+'DOE25'!G279+'DOE25'!G298+'DOE25'!G317</f>
        <v>43691.45</v>
      </c>
    </row>
    <row r="37" spans="1:3" x14ac:dyDescent="0.2">
      <c r="A37" t="s">
        <v>778</v>
      </c>
      <c r="B37" s="240">
        <f>219558.75+2146</f>
        <v>221704.75</v>
      </c>
      <c r="C37" s="240">
        <f>16796.24+164.17+336.28+22559.18</f>
        <v>39855.869999999995</v>
      </c>
    </row>
    <row r="38" spans="1:3" x14ac:dyDescent="0.2">
      <c r="A38" t="s">
        <v>779</v>
      </c>
      <c r="B38" s="240">
        <v>16863.169999999998</v>
      </c>
      <c r="C38" s="240">
        <v>1290.03</v>
      </c>
    </row>
    <row r="39" spans="1:3" x14ac:dyDescent="0.2">
      <c r="A39" t="s">
        <v>780</v>
      </c>
      <c r="B39" s="240">
        <f>11418+21857.1</f>
        <v>33275.1</v>
      </c>
      <c r="C39" s="240">
        <f>873.48+1672.07</f>
        <v>2545.5500000000002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271843.01999999996</v>
      </c>
      <c r="C40" s="231">
        <f>SUM(C37:C39)</f>
        <v>43691.45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G8" sqref="G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Jaffrey-Rindge Cooperative School District (SAU 47)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13552744.039999999</v>
      </c>
      <c r="D5" s="20">
        <f>SUM('DOE25'!L197:L200)+SUM('DOE25'!L215:L218)+SUM('DOE25'!L233:L236)-F5-G5</f>
        <v>13494076.739999998</v>
      </c>
      <c r="E5" s="243"/>
      <c r="F5" s="255">
        <f>SUM('DOE25'!J197:J200)+SUM('DOE25'!J215:J218)+SUM('DOE25'!J233:J236)</f>
        <v>21538.23</v>
      </c>
      <c r="G5" s="53">
        <f>SUM('DOE25'!K197:K200)+SUM('DOE25'!K215:K218)+SUM('DOE25'!K233:K236)</f>
        <v>37129.07</v>
      </c>
      <c r="H5" s="259"/>
    </row>
    <row r="6" spans="1:9" x14ac:dyDescent="0.2">
      <c r="A6" s="32">
        <v>2100</v>
      </c>
      <c r="B6" t="s">
        <v>800</v>
      </c>
      <c r="C6" s="245">
        <f t="shared" si="0"/>
        <v>1457011.81</v>
      </c>
      <c r="D6" s="20">
        <f>'DOE25'!L202+'DOE25'!L220+'DOE25'!L238-F6-G6</f>
        <v>1456836.81</v>
      </c>
      <c r="E6" s="243"/>
      <c r="F6" s="255">
        <f>'DOE25'!J202+'DOE25'!J220+'DOE25'!J238</f>
        <v>0</v>
      </c>
      <c r="G6" s="53">
        <f>'DOE25'!K202+'DOE25'!K220+'DOE25'!K238</f>
        <v>175</v>
      </c>
      <c r="H6" s="259"/>
    </row>
    <row r="7" spans="1:9" x14ac:dyDescent="0.2">
      <c r="A7" s="32">
        <v>2200</v>
      </c>
      <c r="B7" t="s">
        <v>833</v>
      </c>
      <c r="C7" s="245">
        <f t="shared" si="0"/>
        <v>648169.21</v>
      </c>
      <c r="D7" s="20">
        <f>'DOE25'!L203+'DOE25'!L221+'DOE25'!L239-F7-G7</f>
        <v>642195.21</v>
      </c>
      <c r="E7" s="243"/>
      <c r="F7" s="255">
        <f>'DOE25'!J203+'DOE25'!J221+'DOE25'!J239</f>
        <v>0</v>
      </c>
      <c r="G7" s="53">
        <f>'DOE25'!K203+'DOE25'!K221+'DOE25'!K239</f>
        <v>5974</v>
      </c>
      <c r="H7" s="259"/>
    </row>
    <row r="8" spans="1:9" x14ac:dyDescent="0.2">
      <c r="A8" s="32">
        <v>2300</v>
      </c>
      <c r="B8" t="s">
        <v>801</v>
      </c>
      <c r="C8" s="245">
        <f t="shared" si="0"/>
        <v>5510.46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5510.46</v>
      </c>
      <c r="H8" s="259"/>
    </row>
    <row r="9" spans="1:9" x14ac:dyDescent="0.2">
      <c r="A9" s="32">
        <v>2310</v>
      </c>
      <c r="B9" t="s">
        <v>817</v>
      </c>
      <c r="C9" s="245">
        <f t="shared" si="0"/>
        <v>83326.710000000006</v>
      </c>
      <c r="D9" s="244">
        <v>83326.710000000006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25250</v>
      </c>
      <c r="D10" s="243"/>
      <c r="E10" s="244">
        <v>25250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279822.13</v>
      </c>
      <c r="D11" s="244">
        <v>279822.13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1274974.71</v>
      </c>
      <c r="D12" s="20">
        <f>'DOE25'!L205+'DOE25'!L223+'DOE25'!L241-F12-G12</f>
        <v>1266641.21</v>
      </c>
      <c r="E12" s="243"/>
      <c r="F12" s="255">
        <f>'DOE25'!J205+'DOE25'!J223+'DOE25'!J241</f>
        <v>775</v>
      </c>
      <c r="G12" s="53">
        <f>'DOE25'!K205+'DOE25'!K223+'DOE25'!K241</f>
        <v>7558.5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572203.26</v>
      </c>
      <c r="D13" s="243"/>
      <c r="E13" s="20">
        <f>'DOE25'!L206+'DOE25'!L224+'DOE25'!L242-F13-G13</f>
        <v>559827.30000000005</v>
      </c>
      <c r="F13" s="255">
        <f>'DOE25'!J206+'DOE25'!J224+'DOE25'!J242</f>
        <v>1340.52</v>
      </c>
      <c r="G13" s="53">
        <f>'DOE25'!K206+'DOE25'!K224+'DOE25'!K242</f>
        <v>11035.44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2730458.2300000004</v>
      </c>
      <c r="D14" s="20">
        <f>'DOE25'!L207+'DOE25'!L225+'DOE25'!L243-F14-G14</f>
        <v>1864518.7500000005</v>
      </c>
      <c r="E14" s="243"/>
      <c r="F14" s="255">
        <f>'DOE25'!J207+'DOE25'!J225+'DOE25'!J243</f>
        <v>865309.47999999986</v>
      </c>
      <c r="G14" s="53">
        <f>'DOE25'!K207+'DOE25'!K225+'DOE25'!K243</f>
        <v>630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1427561.46</v>
      </c>
      <c r="D15" s="20">
        <f>'DOE25'!L208+'DOE25'!L226+'DOE25'!L244-F15-G15</f>
        <v>1427561.46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840276.88</v>
      </c>
      <c r="D16" s="243"/>
      <c r="E16" s="20">
        <f>'DOE25'!L209+'DOE25'!L227+'DOE25'!L245-F16-G16</f>
        <v>566807.35</v>
      </c>
      <c r="F16" s="255">
        <f>'DOE25'!J209+'DOE25'!J227+'DOE25'!J245</f>
        <v>273469.53000000003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738900</v>
      </c>
      <c r="D25" s="243"/>
      <c r="E25" s="243"/>
      <c r="F25" s="258"/>
      <c r="G25" s="256"/>
      <c r="H25" s="257">
        <f>'DOE25'!L260+'DOE25'!L261+'DOE25'!L341+'DOE25'!L342</f>
        <v>738900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527666.25</v>
      </c>
      <c r="D29" s="20">
        <f>'DOE25'!L358+'DOE25'!L359+'DOE25'!L360-'DOE25'!I367-F29-G29</f>
        <v>518131.75</v>
      </c>
      <c r="E29" s="243"/>
      <c r="F29" s="255">
        <f>'DOE25'!J358+'DOE25'!J359+'DOE25'!J360</f>
        <v>9341</v>
      </c>
      <c r="G29" s="53">
        <f>'DOE25'!K358+'DOE25'!K359+'DOE25'!K360</f>
        <v>193.5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755319.12</v>
      </c>
      <c r="D31" s="20">
        <f>'DOE25'!L290+'DOE25'!L309+'DOE25'!L328+'DOE25'!L333+'DOE25'!L334+'DOE25'!L335-F31-G31</f>
        <v>743594.12</v>
      </c>
      <c r="E31" s="243"/>
      <c r="F31" s="255">
        <f>'DOE25'!J290+'DOE25'!J309+'DOE25'!J328+'DOE25'!J333+'DOE25'!J334+'DOE25'!J335</f>
        <v>10975</v>
      </c>
      <c r="G31" s="53">
        <f>'DOE25'!K290+'DOE25'!K309+'DOE25'!K328+'DOE25'!K333+'DOE25'!K334+'DOE25'!K335</f>
        <v>750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21776704.890000001</v>
      </c>
      <c r="E33" s="246">
        <f>SUM(E5:E31)</f>
        <v>1151884.6499999999</v>
      </c>
      <c r="F33" s="246">
        <f>SUM(F5:F31)</f>
        <v>1182748.7599999998</v>
      </c>
      <c r="G33" s="246">
        <f>SUM(G5:G31)</f>
        <v>68955.97</v>
      </c>
      <c r="H33" s="246">
        <f>SUM(H5:H31)</f>
        <v>738900</v>
      </c>
    </row>
    <row r="35" spans="2:8" ht="12" thickBot="1" x14ac:dyDescent="0.25">
      <c r="B35" s="253" t="s">
        <v>846</v>
      </c>
      <c r="D35" s="254">
        <f>E33</f>
        <v>1151884.6499999999</v>
      </c>
      <c r="E35" s="249"/>
    </row>
    <row r="36" spans="2:8" ht="12" thickTop="1" x14ac:dyDescent="0.2">
      <c r="B36" t="s">
        <v>814</v>
      </c>
      <c r="D36" s="20">
        <f>D33</f>
        <v>21776704.890000001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38" sqref="C13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Jaffrey-Rindge Cooperative School District (SAU 47)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1022564.89</v>
      </c>
      <c r="D8" s="95">
        <f>'DOE25'!G9</f>
        <v>1030.9000000000001</v>
      </c>
      <c r="E8" s="95">
        <f>'DOE25'!H9</f>
        <v>7118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2566281.75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166321.51</v>
      </c>
      <c r="D11" s="95">
        <f>'DOE25'!G12</f>
        <v>2013.33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44725.33</v>
      </c>
      <c r="D12" s="95">
        <f>'DOE25'!G13</f>
        <v>13228.69</v>
      </c>
      <c r="E12" s="95">
        <f>'DOE25'!H13</f>
        <v>168334.84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3644.87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29467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13393.5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1250650.1000000001</v>
      </c>
      <c r="D18" s="41">
        <f>SUM(D8:D17)</f>
        <v>45739.92</v>
      </c>
      <c r="E18" s="41">
        <f>SUM(E8:E17)</f>
        <v>175452.84</v>
      </c>
      <c r="F18" s="41">
        <f>SUM(F8:F17)</f>
        <v>0</v>
      </c>
      <c r="G18" s="41">
        <f>SUM(G8:G17)</f>
        <v>2566281.75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168334.84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154831.82999999999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29507.99</v>
      </c>
      <c r="D27" s="95">
        <f>'DOE25'!G28</f>
        <v>15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29462.89</v>
      </c>
      <c r="D28" s="95">
        <f>'DOE25'!G29</f>
        <v>1.1499999999999999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15832.54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213802.70999999996</v>
      </c>
      <c r="D31" s="41">
        <f>SUM(D21:D30)</f>
        <v>15848.69</v>
      </c>
      <c r="E31" s="41">
        <f>SUM(E21:E30)</f>
        <v>168334.84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29467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13393.5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424.23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7118</v>
      </c>
      <c r="F42" s="95">
        <f>'DOE25'!I43</f>
        <v>0</v>
      </c>
      <c r="G42" s="95">
        <f>'DOE25'!J43</f>
        <v>2566281.75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15493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200000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225332.66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582628.23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1036847.39</v>
      </c>
      <c r="D50" s="41">
        <f>SUM(D34:D49)</f>
        <v>29891.23</v>
      </c>
      <c r="E50" s="41">
        <f>SUM(E34:E49)</f>
        <v>7118</v>
      </c>
      <c r="F50" s="41">
        <f>SUM(F34:F49)</f>
        <v>0</v>
      </c>
      <c r="G50" s="41">
        <f>SUM(G34:G49)</f>
        <v>2566281.75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1250650.1000000001</v>
      </c>
      <c r="D51" s="41">
        <f>D50+D31</f>
        <v>45739.92</v>
      </c>
      <c r="E51" s="41">
        <f>E50+E31</f>
        <v>175452.84</v>
      </c>
      <c r="F51" s="41">
        <f>F50+F31</f>
        <v>0</v>
      </c>
      <c r="G51" s="41">
        <f>G50+G31</f>
        <v>2566281.75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15480960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38297.300000000003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69185.03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250102.34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197834.15999999997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236131.45999999996</v>
      </c>
      <c r="D62" s="130">
        <f>SUM(D57:D61)</f>
        <v>250102.34</v>
      </c>
      <c r="E62" s="130">
        <f>SUM(E57:E61)</f>
        <v>0</v>
      </c>
      <c r="F62" s="130">
        <f>SUM(F57:F61)</f>
        <v>0</v>
      </c>
      <c r="G62" s="130">
        <f>SUM(G57:G61)</f>
        <v>69185.03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15717091.460000001</v>
      </c>
      <c r="D63" s="22">
        <f>D56+D62</f>
        <v>250102.34</v>
      </c>
      <c r="E63" s="22">
        <f>E56+E62</f>
        <v>0</v>
      </c>
      <c r="F63" s="22">
        <f>F56+F62</f>
        <v>0</v>
      </c>
      <c r="G63" s="22">
        <f>G56+G62</f>
        <v>69185.03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4802640.76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2181054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728.03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6984422.79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325898.36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505957.23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4260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7443.21</v>
      </c>
      <c r="E77" s="95">
        <f>SUM('DOE25'!H131:H135)</f>
        <v>3845.6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836115.59</v>
      </c>
      <c r="D78" s="130">
        <f>SUM(D72:D77)</f>
        <v>7443.21</v>
      </c>
      <c r="E78" s="130">
        <f>SUM(E72:E77)</f>
        <v>3845.6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7820538.3799999999</v>
      </c>
      <c r="D81" s="130">
        <f>SUM(D79:D80)+D78+D70</f>
        <v>7443.21</v>
      </c>
      <c r="E81" s="130">
        <f>SUM(E79:E80)+E78+E70</f>
        <v>3845.6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156047.71</v>
      </c>
      <c r="D88" s="95">
        <f>SUM('DOE25'!G153:G161)</f>
        <v>259494.06</v>
      </c>
      <c r="E88" s="95">
        <f>SUM('DOE25'!H153:H161)</f>
        <v>759568.52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156047.71</v>
      </c>
      <c r="D91" s="131">
        <f>SUM(D85:D90)</f>
        <v>259494.06</v>
      </c>
      <c r="E91" s="131">
        <f>SUM(E85:E90)</f>
        <v>759568.52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24000</v>
      </c>
      <c r="E96" s="95">
        <f>'DOE25'!H179</f>
        <v>0</v>
      </c>
      <c r="F96" s="95">
        <f>'DOE25'!I179</f>
        <v>0</v>
      </c>
      <c r="G96" s="95">
        <f>'DOE25'!J179</f>
        <v>400000</v>
      </c>
    </row>
    <row r="97" spans="1:7" x14ac:dyDescent="0.2">
      <c r="A97" t="s">
        <v>757</v>
      </c>
      <c r="B97" s="32" t="s">
        <v>188</v>
      </c>
      <c r="C97" s="95">
        <f>SUM('DOE25'!F180:F181)</f>
        <v>8095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8095</v>
      </c>
      <c r="D103" s="86">
        <f>SUM(D93:D102)</f>
        <v>24000</v>
      </c>
      <c r="E103" s="86">
        <f>SUM(E93:E102)</f>
        <v>0</v>
      </c>
      <c r="F103" s="86">
        <f>SUM(F93:F102)</f>
        <v>0</v>
      </c>
      <c r="G103" s="86">
        <f>SUM(G93:G102)</f>
        <v>400000</v>
      </c>
    </row>
    <row r="104" spans="1:7" ht="12.75" thickTop="1" thickBot="1" x14ac:dyDescent="0.25">
      <c r="A104" s="33" t="s">
        <v>764</v>
      </c>
      <c r="C104" s="86">
        <f>C63+C81+C91+C103</f>
        <v>23701772.550000001</v>
      </c>
      <c r="D104" s="86">
        <f>D63+D81+D91+D103</f>
        <v>541039.61</v>
      </c>
      <c r="E104" s="86">
        <f>E63+E81+E91+E103</f>
        <v>763414.12</v>
      </c>
      <c r="F104" s="86">
        <f>F63+F81+F91+F103</f>
        <v>0</v>
      </c>
      <c r="G104" s="86">
        <f>G63+G81+G103</f>
        <v>469185.03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7373712.3199999994</v>
      </c>
      <c r="D109" s="24" t="s">
        <v>288</v>
      </c>
      <c r="E109" s="95">
        <f>('DOE25'!L276)+('DOE25'!L295)+('DOE25'!L314)</f>
        <v>361423.41000000003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5418760.669999999</v>
      </c>
      <c r="D110" s="24" t="s">
        <v>288</v>
      </c>
      <c r="E110" s="95">
        <f>('DOE25'!L277)+('DOE25'!L296)+('DOE25'!L315)</f>
        <v>185206.01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392843.98000000004</v>
      </c>
      <c r="D111" s="24" t="s">
        <v>288</v>
      </c>
      <c r="E111" s="95">
        <f>('DOE25'!L278)+('DOE25'!L297)+('DOE25'!L316)</f>
        <v>13057.91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367427.07</v>
      </c>
      <c r="D112" s="24" t="s">
        <v>288</v>
      </c>
      <c r="E112" s="95">
        <f>+('DOE25'!L279)+('DOE25'!L298)+('DOE25'!L317)</f>
        <v>4612.42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3750.6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13552744.039999999</v>
      </c>
      <c r="D115" s="86">
        <f>SUM(D109:D114)</f>
        <v>0</v>
      </c>
      <c r="E115" s="86">
        <f>SUM(E109:E114)</f>
        <v>568050.35000000009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1457011.81</v>
      </c>
      <c r="D118" s="24" t="s">
        <v>288</v>
      </c>
      <c r="E118" s="95">
        <f>+('DOE25'!L281)+('DOE25'!L300)+('DOE25'!L319)</f>
        <v>20662.07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648169.21</v>
      </c>
      <c r="D119" s="24" t="s">
        <v>288</v>
      </c>
      <c r="E119" s="95">
        <f>+('DOE25'!L282)+('DOE25'!L301)+('DOE25'!L320)</f>
        <v>166606.70000000001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368659.30000000005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1274974.71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572203.26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2730458.2300000004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1427561.46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840276.88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538554.03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9319314.8600000013</v>
      </c>
      <c r="D128" s="86">
        <f>SUM(D118:D127)</f>
        <v>538554.03</v>
      </c>
      <c r="E128" s="86">
        <f>SUM(E118:E127)</f>
        <v>187268.77000000002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615000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123900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8095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24000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253389.76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183929.63999999998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31865.629999999997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-69185.030000000028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1162899.9999999998</v>
      </c>
      <c r="D144" s="141">
        <f>SUM(D130:D143)</f>
        <v>0</v>
      </c>
      <c r="E144" s="141">
        <f>SUM(E130:E143)</f>
        <v>8095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24034958.899999999</v>
      </c>
      <c r="D145" s="86">
        <f>(D115+D128+D144)</f>
        <v>538554.03</v>
      </c>
      <c r="E145" s="86">
        <f>(E115+E128+E144)</f>
        <v>763414.12000000011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07/06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9247684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3690000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3690000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615000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615000</v>
      </c>
    </row>
    <row r="159" spans="1:9" x14ac:dyDescent="0.2">
      <c r="A159" s="22" t="s">
        <v>35</v>
      </c>
      <c r="B159" s="137">
        <f>'DOE25'!F498</f>
        <v>3075000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3075000</v>
      </c>
    </row>
    <row r="160" spans="1:9" x14ac:dyDescent="0.2">
      <c r="A160" s="22" t="s">
        <v>36</v>
      </c>
      <c r="B160" s="137">
        <f>'DOE25'!F499</f>
        <v>213624.26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213624.26</v>
      </c>
    </row>
    <row r="161" spans="1:7" x14ac:dyDescent="0.2">
      <c r="A161" s="22" t="s">
        <v>37</v>
      </c>
      <c r="B161" s="137">
        <f>'DOE25'!F500</f>
        <v>3288624.26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3288624.26</v>
      </c>
    </row>
    <row r="162" spans="1:7" x14ac:dyDescent="0.2">
      <c r="A162" s="22" t="s">
        <v>38</v>
      </c>
      <c r="B162" s="137">
        <f>'DOE25'!F501</f>
        <v>615000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615000</v>
      </c>
    </row>
    <row r="163" spans="1:7" x14ac:dyDescent="0.2">
      <c r="A163" s="22" t="s">
        <v>39</v>
      </c>
      <c r="B163" s="137">
        <f>'DOE25'!F502</f>
        <v>93150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93150</v>
      </c>
    </row>
    <row r="164" spans="1:7" x14ac:dyDescent="0.2">
      <c r="A164" s="22" t="s">
        <v>246</v>
      </c>
      <c r="B164" s="137">
        <f>'DOE25'!F503</f>
        <v>708150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708150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Jaffrey-Rindge Cooperative School District (SAU 47)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14133</v>
      </c>
    </row>
    <row r="5" spans="1:4" x14ac:dyDescent="0.2">
      <c r="B5" t="s">
        <v>703</v>
      </c>
      <c r="C5" s="179">
        <f>IF('DOE25'!G665+'DOE25'!G670=0,0,ROUND('DOE25'!G672,0))</f>
        <v>14792</v>
      </c>
    </row>
    <row r="6" spans="1:4" x14ac:dyDescent="0.2">
      <c r="B6" t="s">
        <v>62</v>
      </c>
      <c r="C6" s="179">
        <f>IF('DOE25'!H665+'DOE25'!H670=0,0,ROUND('DOE25'!H672,0))</f>
        <v>15337</v>
      </c>
    </row>
    <row r="7" spans="1:4" x14ac:dyDescent="0.2">
      <c r="B7" t="s">
        <v>704</v>
      </c>
      <c r="C7" s="179">
        <f>IF('DOE25'!I665+'DOE25'!I670=0,0,ROUND('DOE25'!I672,0))</f>
        <v>14616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7735136</v>
      </c>
      <c r="D10" s="182">
        <f>ROUND((C10/$C$28)*100,1)</f>
        <v>32.200000000000003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5603967</v>
      </c>
      <c r="D11" s="182">
        <f>ROUND((C11/$C$28)*100,1)</f>
        <v>23.3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405902</v>
      </c>
      <c r="D12" s="182">
        <f>ROUND((C12/$C$28)*100,1)</f>
        <v>1.7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372039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1477674</v>
      </c>
      <c r="D15" s="182">
        <f t="shared" ref="D15:D27" si="0">ROUND((C15/$C$28)*100,1)</f>
        <v>6.1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814776</v>
      </c>
      <c r="D16" s="182">
        <f t="shared" si="0"/>
        <v>3.4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1208936</v>
      </c>
      <c r="D17" s="182">
        <f t="shared" si="0"/>
        <v>5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1274975</v>
      </c>
      <c r="D18" s="182">
        <f t="shared" si="0"/>
        <v>5.3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572203</v>
      </c>
      <c r="D19" s="182">
        <f t="shared" si="0"/>
        <v>2.4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2730458</v>
      </c>
      <c r="D20" s="182">
        <f t="shared" si="0"/>
        <v>11.4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1427561</v>
      </c>
      <c r="D21" s="182">
        <f t="shared" si="0"/>
        <v>5.9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3751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123900</v>
      </c>
      <c r="D25" s="182">
        <f t="shared" si="0"/>
        <v>0.5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288451.66000000003</v>
      </c>
      <c r="D27" s="182">
        <f t="shared" si="0"/>
        <v>1.2</v>
      </c>
    </row>
    <row r="28" spans="1:4" x14ac:dyDescent="0.2">
      <c r="B28" s="187" t="s">
        <v>722</v>
      </c>
      <c r="C28" s="180">
        <f>SUM(C10:C27)</f>
        <v>24039729.66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24039729.66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615000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15480960</v>
      </c>
      <c r="D35" s="182">
        <f t="shared" ref="D35:D40" si="1">ROUND((C35/$C$41)*100,1)</f>
        <v>62.4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305316.49000000022</v>
      </c>
      <c r="D36" s="182">
        <f t="shared" si="1"/>
        <v>1.2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6983695</v>
      </c>
      <c r="D37" s="182">
        <f t="shared" si="1"/>
        <v>28.2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848132</v>
      </c>
      <c r="D38" s="182">
        <f t="shared" si="1"/>
        <v>3.4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1175110</v>
      </c>
      <c r="D39" s="182">
        <f t="shared" si="1"/>
        <v>4.7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24793213.490000002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Jaffrey-Rindge Cooperative School District (SAU 47)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2017-09-26T18:39:42Z</cp:lastPrinted>
  <dcterms:created xsi:type="dcterms:W3CDTF">1997-12-04T19:04:30Z</dcterms:created>
  <dcterms:modified xsi:type="dcterms:W3CDTF">2017-11-29T17:31:10Z</dcterms:modified>
</cp:coreProperties>
</file>