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 iterateDelta="4.1486142249243762E-271"/>
</workbook>
</file>

<file path=xl/calcChain.xml><?xml version="1.0" encoding="utf-8"?>
<calcChain xmlns="http://schemas.openxmlformats.org/spreadsheetml/2006/main">
  <c r="F472" i="1" l="1"/>
  <c r="I243" i="1"/>
  <c r="F473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E8" i="13" s="1"/>
  <c r="C8" i="13" s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C110" i="2" s="1"/>
  <c r="L235" i="1"/>
  <c r="C111" i="2" s="1"/>
  <c r="L236" i="1"/>
  <c r="C112" i="2" s="1"/>
  <c r="F6" i="13"/>
  <c r="G6" i="13"/>
  <c r="L202" i="1"/>
  <c r="L220" i="1"/>
  <c r="L238" i="1"/>
  <c r="D6" i="13" s="1"/>
  <c r="C6" i="13" s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C20" i="10" s="1"/>
  <c r="F15" i="13"/>
  <c r="G15" i="13"/>
  <c r="L208" i="1"/>
  <c r="L226" i="1"/>
  <c r="L244" i="1"/>
  <c r="C21" i="10" s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E110" i="2" s="1"/>
  <c r="L316" i="1"/>
  <c r="E111" i="2" s="1"/>
  <c r="L317" i="1"/>
  <c r="E112" i="2" s="1"/>
  <c r="L319" i="1"/>
  <c r="E118" i="2" s="1"/>
  <c r="L320" i="1"/>
  <c r="E119" i="2" s="1"/>
  <c r="L321" i="1"/>
  <c r="E120" i="2" s="1"/>
  <c r="L322" i="1"/>
  <c r="E121" i="2" s="1"/>
  <c r="L323" i="1"/>
  <c r="E122" i="2" s="1"/>
  <c r="L324" i="1"/>
  <c r="L325" i="1"/>
  <c r="L326" i="1"/>
  <c r="L333" i="1"/>
  <c r="L334" i="1"/>
  <c r="L335" i="1"/>
  <c r="L260" i="1"/>
  <c r="C131" i="2" s="1"/>
  <c r="L261" i="1"/>
  <c r="C25" i="10" s="1"/>
  <c r="L341" i="1"/>
  <c r="L342" i="1"/>
  <c r="L255" i="1"/>
  <c r="C29" i="10" s="1"/>
  <c r="L336" i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3" i="1" s="1"/>
  <c r="C138" i="2" s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D56" i="2" s="1"/>
  <c r="H60" i="1"/>
  <c r="E56" i="2" s="1"/>
  <c r="I60" i="1"/>
  <c r="F56" i="2" s="1"/>
  <c r="F79" i="1"/>
  <c r="C57" i="2" s="1"/>
  <c r="F94" i="1"/>
  <c r="C58" i="2" s="1"/>
  <c r="F111" i="1"/>
  <c r="G111" i="1"/>
  <c r="G112" i="1" s="1"/>
  <c r="H79" i="1"/>
  <c r="E57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C85" i="2" s="1"/>
  <c r="F162" i="1"/>
  <c r="G147" i="1"/>
  <c r="G162" i="1"/>
  <c r="H147" i="1"/>
  <c r="H162" i="1"/>
  <c r="I147" i="1"/>
  <c r="I162" i="1"/>
  <c r="C11" i="10"/>
  <c r="L250" i="1"/>
  <c r="L332" i="1"/>
  <c r="L254" i="1"/>
  <c r="L268" i="1"/>
  <c r="L269" i="1"/>
  <c r="L349" i="1"/>
  <c r="L350" i="1"/>
  <c r="I665" i="1"/>
  <c r="I670" i="1"/>
  <c r="L211" i="1"/>
  <c r="L229" i="1"/>
  <c r="F662" i="1"/>
  <c r="G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G552" i="1" s="1"/>
  <c r="L531" i="1"/>
  <c r="H549" i="1" s="1"/>
  <c r="L532" i="1"/>
  <c r="H550" i="1" s="1"/>
  <c r="L533" i="1"/>
  <c r="H551" i="1" s="1"/>
  <c r="H552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C132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3" i="2"/>
  <c r="E113" i="2"/>
  <c r="C114" i="2"/>
  <c r="E114" i="2"/>
  <c r="D115" i="2"/>
  <c r="F115" i="2"/>
  <c r="G115" i="2"/>
  <c r="C119" i="2"/>
  <c r="E123" i="2"/>
  <c r="E124" i="2"/>
  <c r="C125" i="2"/>
  <c r="E125" i="2"/>
  <c r="F128" i="2"/>
  <c r="G128" i="2"/>
  <c r="E130" i="2"/>
  <c r="F130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G156" i="2" s="1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G620" i="1" s="1"/>
  <c r="F32" i="1"/>
  <c r="F52" i="1" s="1"/>
  <c r="H617" i="1" s="1"/>
  <c r="G32" i="1"/>
  <c r="G52" i="1" s="1"/>
  <c r="H618" i="1" s="1"/>
  <c r="H32" i="1"/>
  <c r="I32" i="1"/>
  <c r="H51" i="1"/>
  <c r="G624" i="1" s="1"/>
  <c r="I51" i="1"/>
  <c r="G625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F257" i="1" s="1"/>
  <c r="F271" i="1" s="1"/>
  <c r="G247" i="1"/>
  <c r="G257" i="1" s="1"/>
  <c r="G271" i="1" s="1"/>
  <c r="H247" i="1"/>
  <c r="H257" i="1" s="1"/>
  <c r="H271" i="1" s="1"/>
  <c r="I247" i="1"/>
  <c r="I257" i="1" s="1"/>
  <c r="I271" i="1" s="1"/>
  <c r="J247" i="1"/>
  <c r="K247" i="1"/>
  <c r="K257" i="1" s="1"/>
  <c r="F256" i="1"/>
  <c r="G256" i="1"/>
  <c r="H256" i="1"/>
  <c r="I256" i="1"/>
  <c r="J256" i="1"/>
  <c r="L256" i="1" s="1"/>
  <c r="K256" i="1"/>
  <c r="F290" i="1"/>
  <c r="G290" i="1"/>
  <c r="H290" i="1"/>
  <c r="I290" i="1"/>
  <c r="F309" i="1"/>
  <c r="G309" i="1"/>
  <c r="H309" i="1"/>
  <c r="I309" i="1"/>
  <c r="F328" i="1"/>
  <c r="F338" i="1" s="1"/>
  <c r="F352" i="1" s="1"/>
  <c r="G328" i="1"/>
  <c r="G338" i="1" s="1"/>
  <c r="G352" i="1" s="1"/>
  <c r="H328" i="1"/>
  <c r="H338" i="1" s="1"/>
  <c r="H352" i="1" s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H634" i="1" s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645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F452" i="1"/>
  <c r="G452" i="1"/>
  <c r="H452" i="1"/>
  <c r="I452" i="1"/>
  <c r="F460" i="1"/>
  <c r="G460" i="1"/>
  <c r="H460" i="1"/>
  <c r="F461" i="1"/>
  <c r="G461" i="1"/>
  <c r="H640" i="1" s="1"/>
  <c r="H461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H545" i="1" s="1"/>
  <c r="I529" i="1"/>
  <c r="I545" i="1" s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H571" i="1" s="1"/>
  <c r="I565" i="1"/>
  <c r="I571" i="1" s="1"/>
  <c r="J565" i="1"/>
  <c r="J571" i="1" s="1"/>
  <c r="K565" i="1"/>
  <c r="K571" i="1" s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5" i="1" s="1"/>
  <c r="G648" i="1" s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22" i="1"/>
  <c r="G623" i="1"/>
  <c r="H627" i="1"/>
  <c r="H628" i="1"/>
  <c r="H629" i="1"/>
  <c r="H630" i="1"/>
  <c r="H631" i="1"/>
  <c r="H632" i="1"/>
  <c r="H633" i="1"/>
  <c r="H635" i="1"/>
  <c r="H636" i="1"/>
  <c r="J636" i="1" s="1"/>
  <c r="H637" i="1"/>
  <c r="H638" i="1"/>
  <c r="G639" i="1"/>
  <c r="H639" i="1"/>
  <c r="G641" i="1"/>
  <c r="H641" i="1"/>
  <c r="G643" i="1"/>
  <c r="H643" i="1"/>
  <c r="G644" i="1"/>
  <c r="G649" i="1"/>
  <c r="J649" i="1" s="1"/>
  <c r="G650" i="1"/>
  <c r="G652" i="1"/>
  <c r="H652" i="1"/>
  <c r="G653" i="1"/>
  <c r="H653" i="1"/>
  <c r="G654" i="1"/>
  <c r="H654" i="1"/>
  <c r="H655" i="1"/>
  <c r="J655" i="1" s="1"/>
  <c r="G164" i="2"/>
  <c r="C26" i="10"/>
  <c r="L290" i="1"/>
  <c r="F660" i="1" s="1"/>
  <c r="D12" i="13"/>
  <c r="C12" i="13" s="1"/>
  <c r="D18" i="13"/>
  <c r="C18" i="13" s="1"/>
  <c r="D17" i="13"/>
  <c r="C17" i="13" s="1"/>
  <c r="F78" i="2"/>
  <c r="F81" i="2" s="1"/>
  <c r="G157" i="2"/>
  <c r="G161" i="2"/>
  <c r="E103" i="2"/>
  <c r="G62" i="2"/>
  <c r="D19" i="13"/>
  <c r="C19" i="13" s="1"/>
  <c r="E78" i="2"/>
  <c r="L427" i="1"/>
  <c r="J641" i="1"/>
  <c r="J639" i="1"/>
  <c r="L433" i="1"/>
  <c r="L419" i="1"/>
  <c r="I169" i="1"/>
  <c r="J643" i="1"/>
  <c r="J140" i="1"/>
  <c r="F571" i="1"/>
  <c r="I552" i="1"/>
  <c r="K549" i="1"/>
  <c r="K550" i="1"/>
  <c r="G22" i="2"/>
  <c r="J552" i="1"/>
  <c r="H140" i="1"/>
  <c r="A13" i="12"/>
  <c r="F22" i="13"/>
  <c r="C22" i="13" s="1"/>
  <c r="H25" i="13"/>
  <c r="C25" i="13" s="1"/>
  <c r="L560" i="1"/>
  <c r="H192" i="1"/>
  <c r="F552" i="1"/>
  <c r="L309" i="1"/>
  <c r="L570" i="1"/>
  <c r="G36" i="2"/>
  <c r="L565" i="1"/>
  <c r="E16" i="13" l="1"/>
  <c r="C16" i="13" s="1"/>
  <c r="A31" i="12"/>
  <c r="H169" i="1"/>
  <c r="D91" i="2"/>
  <c r="D62" i="2"/>
  <c r="K598" i="1"/>
  <c r="G647" i="1" s="1"/>
  <c r="K545" i="1"/>
  <c r="L529" i="1"/>
  <c r="G545" i="1"/>
  <c r="I446" i="1"/>
  <c r="G642" i="1" s="1"/>
  <c r="H408" i="1"/>
  <c r="H644" i="1" s="1"/>
  <c r="J644" i="1" s="1"/>
  <c r="I460" i="1"/>
  <c r="I461" i="1" s="1"/>
  <c r="H642" i="1" s="1"/>
  <c r="J642" i="1" s="1"/>
  <c r="J640" i="1"/>
  <c r="D29" i="13"/>
  <c r="C29" i="13" s="1"/>
  <c r="G661" i="1"/>
  <c r="H661" i="1"/>
  <c r="F661" i="1"/>
  <c r="F664" i="1" s="1"/>
  <c r="F667" i="1" s="1"/>
  <c r="D127" i="2"/>
  <c r="D128" i="2" s="1"/>
  <c r="D145" i="2" s="1"/>
  <c r="L351" i="1"/>
  <c r="C17" i="10"/>
  <c r="C16" i="10"/>
  <c r="C12" i="10"/>
  <c r="K271" i="1"/>
  <c r="H33" i="13"/>
  <c r="J257" i="1"/>
  <c r="J271" i="1" s="1"/>
  <c r="H662" i="1"/>
  <c r="I662" i="1" s="1"/>
  <c r="C118" i="2"/>
  <c r="E62" i="2"/>
  <c r="E63" i="2"/>
  <c r="G192" i="1"/>
  <c r="D81" i="2"/>
  <c r="F192" i="1"/>
  <c r="F18" i="2"/>
  <c r="D50" i="2"/>
  <c r="D31" i="2"/>
  <c r="L534" i="1"/>
  <c r="A40" i="12"/>
  <c r="J476" i="1"/>
  <c r="H626" i="1" s="1"/>
  <c r="I476" i="1"/>
  <c r="H625" i="1" s="1"/>
  <c r="J625" i="1" s="1"/>
  <c r="H476" i="1"/>
  <c r="H624" i="1" s="1"/>
  <c r="J624" i="1" s="1"/>
  <c r="G476" i="1"/>
  <c r="H623" i="1" s="1"/>
  <c r="J623" i="1" s="1"/>
  <c r="F476" i="1"/>
  <c r="H622" i="1" s="1"/>
  <c r="J622" i="1" s="1"/>
  <c r="J545" i="1"/>
  <c r="L539" i="1"/>
  <c r="L545" i="1" s="1"/>
  <c r="K551" i="1"/>
  <c r="K552" i="1" s="1"/>
  <c r="L401" i="1"/>
  <c r="C139" i="2" s="1"/>
  <c r="J634" i="1"/>
  <c r="K338" i="1"/>
  <c r="K352" i="1" s="1"/>
  <c r="J338" i="1"/>
  <c r="J352" i="1" s="1"/>
  <c r="C15" i="10"/>
  <c r="C19" i="10"/>
  <c r="C18" i="10"/>
  <c r="E128" i="2"/>
  <c r="C13" i="10"/>
  <c r="L328" i="1"/>
  <c r="E109" i="2"/>
  <c r="E115" i="2" s="1"/>
  <c r="D7" i="13"/>
  <c r="C7" i="13" s="1"/>
  <c r="C130" i="2"/>
  <c r="G651" i="1"/>
  <c r="J651" i="1" s="1"/>
  <c r="D15" i="13"/>
  <c r="C15" i="13" s="1"/>
  <c r="C124" i="2"/>
  <c r="H647" i="1"/>
  <c r="J647" i="1" s="1"/>
  <c r="D14" i="13"/>
  <c r="C14" i="13" s="1"/>
  <c r="C123" i="2"/>
  <c r="C122" i="2"/>
  <c r="E13" i="13"/>
  <c r="C13" i="13" s="1"/>
  <c r="C121" i="2"/>
  <c r="C120" i="2"/>
  <c r="D5" i="13"/>
  <c r="C5" i="13" s="1"/>
  <c r="C10" i="10"/>
  <c r="L247" i="1"/>
  <c r="L257" i="1" s="1"/>
  <c r="L271" i="1" s="1"/>
  <c r="G632" i="1" s="1"/>
  <c r="J632" i="1" s="1"/>
  <c r="C109" i="2"/>
  <c r="C115" i="2" s="1"/>
  <c r="G645" i="1"/>
  <c r="J645" i="1" s="1"/>
  <c r="C35" i="10"/>
  <c r="E81" i="2"/>
  <c r="H112" i="1"/>
  <c r="D63" i="2"/>
  <c r="C91" i="2"/>
  <c r="F169" i="1"/>
  <c r="C78" i="2"/>
  <c r="C70" i="2"/>
  <c r="F112" i="1"/>
  <c r="C62" i="2"/>
  <c r="C63" i="2" s="1"/>
  <c r="I52" i="1"/>
  <c r="H620" i="1" s="1"/>
  <c r="J620" i="1" s="1"/>
  <c r="E31" i="2"/>
  <c r="H52" i="1"/>
  <c r="H619" i="1" s="1"/>
  <c r="J619" i="1" s="1"/>
  <c r="D18" i="2"/>
  <c r="J617" i="1"/>
  <c r="C18" i="2"/>
  <c r="L337" i="1"/>
  <c r="F62" i="2"/>
  <c r="F63" i="2" s="1"/>
  <c r="F104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E144" i="2"/>
  <c r="F50" i="2"/>
  <c r="C24" i="10"/>
  <c r="G660" i="1"/>
  <c r="G31" i="13"/>
  <c r="G33" i="13" s="1"/>
  <c r="I338" i="1"/>
  <c r="I352" i="1" s="1"/>
  <c r="J650" i="1"/>
  <c r="L407" i="1"/>
  <c r="C140" i="2" s="1"/>
  <c r="L571" i="1"/>
  <c r="I192" i="1"/>
  <c r="E91" i="2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H193" i="1"/>
  <c r="G629" i="1" s="1"/>
  <c r="J629" i="1" s="1"/>
  <c r="G169" i="1"/>
  <c r="G140" i="1"/>
  <c r="F140" i="1"/>
  <c r="F193" i="1" s="1"/>
  <c r="G627" i="1" s="1"/>
  <c r="J627" i="1" s="1"/>
  <c r="G63" i="2"/>
  <c r="J618" i="1"/>
  <c r="G42" i="2"/>
  <c r="J51" i="1"/>
  <c r="G16" i="2"/>
  <c r="J19" i="1"/>
  <c r="G621" i="1" s="1"/>
  <c r="G18" i="2"/>
  <c r="F545" i="1"/>
  <c r="H434" i="1"/>
  <c r="D103" i="2"/>
  <c r="D104" i="2" s="1"/>
  <c r="I140" i="1"/>
  <c r="I193" i="1" s="1"/>
  <c r="G630" i="1" s="1"/>
  <c r="J630" i="1" s="1"/>
  <c r="A22" i="12"/>
  <c r="G50" i="2"/>
  <c r="G51" i="2" s="1"/>
  <c r="J652" i="1"/>
  <c r="G571" i="1"/>
  <c r="I434" i="1"/>
  <c r="G434" i="1"/>
  <c r="I663" i="1"/>
  <c r="C27" i="10"/>
  <c r="G635" i="1"/>
  <c r="J635" i="1" s="1"/>
  <c r="E145" i="2" l="1"/>
  <c r="H648" i="1"/>
  <c r="J648" i="1" s="1"/>
  <c r="G664" i="1"/>
  <c r="G667" i="1" s="1"/>
  <c r="F672" i="1"/>
  <c r="C4" i="10" s="1"/>
  <c r="I661" i="1"/>
  <c r="C39" i="10"/>
  <c r="L408" i="1"/>
  <c r="C141" i="2"/>
  <c r="C144" i="2" s="1"/>
  <c r="C128" i="2"/>
  <c r="E104" i="2"/>
  <c r="C36" i="10"/>
  <c r="C81" i="2"/>
  <c r="C104" i="2" s="1"/>
  <c r="E51" i="2"/>
  <c r="L338" i="1"/>
  <c r="L352" i="1" s="1"/>
  <c r="G633" i="1" s="1"/>
  <c r="J633" i="1" s="1"/>
  <c r="D31" i="13"/>
  <c r="C31" i="13" s="1"/>
  <c r="E33" i="13"/>
  <c r="D35" i="13" s="1"/>
  <c r="H660" i="1"/>
  <c r="C28" i="10"/>
  <c r="C30" i="10" s="1"/>
  <c r="G104" i="2"/>
  <c r="G672" i="1"/>
  <c r="C5" i="10" s="1"/>
  <c r="F51" i="2"/>
  <c r="C51" i="2"/>
  <c r="G631" i="1"/>
  <c r="J631" i="1" s="1"/>
  <c r="D33" i="13"/>
  <c r="D36" i="13" s="1"/>
  <c r="G193" i="1"/>
  <c r="G628" i="1" s="1"/>
  <c r="J628" i="1" s="1"/>
  <c r="G626" i="1"/>
  <c r="J626" i="1" s="1"/>
  <c r="J52" i="1"/>
  <c r="H621" i="1" s="1"/>
  <c r="J621" i="1" s="1"/>
  <c r="C38" i="10"/>
  <c r="C145" i="2" l="1"/>
  <c r="G637" i="1"/>
  <c r="J637" i="1" s="1"/>
  <c r="H646" i="1"/>
  <c r="J646" i="1" s="1"/>
  <c r="D23" i="10"/>
  <c r="D24" i="10"/>
  <c r="D19" i="10"/>
  <c r="D22" i="10"/>
  <c r="D12" i="10"/>
  <c r="D16" i="10"/>
  <c r="D21" i="10"/>
  <c r="D25" i="10"/>
  <c r="D26" i="10"/>
  <c r="D27" i="10"/>
  <c r="D10" i="10"/>
  <c r="D20" i="10"/>
  <c r="D13" i="10"/>
  <c r="D18" i="10"/>
  <c r="D17" i="10"/>
  <c r="I660" i="1"/>
  <c r="I664" i="1" s="1"/>
  <c r="I672" i="1" s="1"/>
  <c r="C7" i="10" s="1"/>
  <c r="H664" i="1"/>
  <c r="D15" i="10"/>
  <c r="D11" i="10"/>
  <c r="H656" i="1"/>
  <c r="C41" i="10"/>
  <c r="D38" i="10" s="1"/>
  <c r="D28" i="10" l="1"/>
  <c r="I667" i="1"/>
  <c r="H667" i="1"/>
  <c r="H672" i="1"/>
  <c r="C6" i="10" s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<sst xmlns="http://schemas.openxmlformats.org/spreadsheetml/2006/main" count="3956" uniqueCount="914">
  <si>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</si>
  <si>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</si>
  <si>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</si>
  <si>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</si>
  <si>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</si>
  <si>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</si>
  <si>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</si>
  <si>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</si>
  <si>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</si>
  <si>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</si>
  <si>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</si>
  <si>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</si>
  <si>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</si>
  <si>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</si>
  <si>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</si>
  <si>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</si>
  <si>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</si>
  <si>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</si>
  <si>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</si>
  <si>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</si>
  <si>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</si>
  <si>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</si>
  <si>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</si>
  <si>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</si>
  <si>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</si>
  <si>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</si>
  <si>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</si>
  <si>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</si>
  <si>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</si>
  <si>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</si>
  <si>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</si>
  <si>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</si>
  <si>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</si>
  <si>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</si>
  <si>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</si>
  <si>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</si>
  <si>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</si>
  <si>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</si>
  <si>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</si>
  <si>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</si>
  <si>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</si>
  <si>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</si>
  <si>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</si>
  <si>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</si>
  <si>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</si>
  <si>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</si>
  <si>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</si>
  <si>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</si>
  <si>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</si>
  <si>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</si>
  <si>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</si>
  <si>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</si>
  <si>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</si>
  <si>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</si>
  <si>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</si>
  <si>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</si>
  <si>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</si>
  <si>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</si>
  <si>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</si>
  <si>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</si>
  <si>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</si>
  <si>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</si>
  <si>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</si>
  <si>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</si>
  <si>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</si>
  <si>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</si>
  <si>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</si>
  <si>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</si>
  <si>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</si>
  <si>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</si>
  <si>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</si>
  <si>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</si>
  <si>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</si>
  <si>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</si>
  <si>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</si>
  <si>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</si>
  <si>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</si>
  <si>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</si>
  <si>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</si>
  <si>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</si>
  <si>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</si>
  <si>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</si>
  <si>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</si>
  <si>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</si>
  <si>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</si>
  <si>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</si>
  <si>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</si>
  <si>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</si>
  <si>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</si>
  <si>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</si>
  <si>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</si>
  <si>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</si>
  <si>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</si>
  <si>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</si>
  <si>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</si>
  <si>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</si>
  <si>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</si>
  <si>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</si>
  <si>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</si>
  <si>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</si>
  <si>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</si>
  <si>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</si>
  <si>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</si>
  <si>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</si>
  <si>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</si>
  <si>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</si>
  <si>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</si>
  <si>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</si>
  <si>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</si>
  <si>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</si>
  <si>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</si>
  <si>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</si>
  <si>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</si>
  <si>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</si>
  <si>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</si>
  <si>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</si>
  <si>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</si>
  <si>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</si>
  <si>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</si>
  <si>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</si>
  <si>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</si>
  <si>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</si>
  <si>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</si>
  <si>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</si>
  <si>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</si>
  <si>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</si>
  <si>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</si>
  <si>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</si>
  <si>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</si>
  <si>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</si>
  <si>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</si>
  <si>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</si>
  <si>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</si>
  <si>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</si>
  <si>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</si>
  <si>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</si>
  <si>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</si>
  <si>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</si>
  <si>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</si>
  <si>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</si>
  <si>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</si>
  <si>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</si>
  <si>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</si>
  <si>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</si>
  <si>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</si>
  <si>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</si>
  <si>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</si>
  <si>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</si>
  <si>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</si>
  <si>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</si>
  <si>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</si>
  <si>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</si>
  <si>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</si>
  <si>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</si>
  <si>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</si>
  <si>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</si>
  <si>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</si>
  <si>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</si>
  <si>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</si>
  <si>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</si>
  <si>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</si>
  <si>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</si>
  <si>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</si>
  <si>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</si>
  <si>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</si>
  <si>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</si>
  <si>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</si>
  <si>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</si>
  <si>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</si>
  <si>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</si>
  <si>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</si>
  <si>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</si>
  <si>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</si>
  <si>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</si>
  <si>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</si>
  <si>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</si>
  <si>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</si>
  <si>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</si>
  <si>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</si>
  <si>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</si>
  <si>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</si>
  <si>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</si>
  <si>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</si>
  <si>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</si>
  <si>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</si>
  <si>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</si>
  <si>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</si>
  <si>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</si>
  <si>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</si>
  <si>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</si>
  <si>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</si>
  <si>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</si>
  <si>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</si>
  <si>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</si>
  <si>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</si>
  <si>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</si>
  <si>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</si>
  <si>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</si>
  <si>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</si>
  <si>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</si>
  <si>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</si>
  <si>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</si>
  <si>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</si>
  <si>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</si>
  <si>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</si>
  <si>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</si>
  <si>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</si>
  <si>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</si>
  <si>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</si>
  <si>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</si>
  <si>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</si>
  <si>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</si>
  <si>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</si>
  <si>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</si>
  <si>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</si>
  <si>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</si>
  <si>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</si>
  <si>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</si>
  <si>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</si>
  <si>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</si>
  <si>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</si>
  <si>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</si>
  <si>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</si>
  <si>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</si>
  <si>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</si>
  <si>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</si>
  <si>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</si>
  <si>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</si>
  <si>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</si>
  <si>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</si>
  <si>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</si>
  <si>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</si>
  <si>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</si>
  <si>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</si>
  <si>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</si>
  <si>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</si>
  <si>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</si>
  <si>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</si>
  <si>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</si>
  <si>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</si>
  <si>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</si>
  <si>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</si>
  <si>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</si>
  <si>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</si>
  <si>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</si>
  <si>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</si>
  <si>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</si>
  <si>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</si>
  <si>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</si>
  <si>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</si>
  <si>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</si>
  <si>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</si>
  <si>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</si>
  <si>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</si>
  <si>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</si>
  <si>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</si>
  <si>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</si>
  <si>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</si>
  <si>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</si>
  <si>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</si>
  <si>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</si>
  <si>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</si>
  <si>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</si>
  <si>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</si>
  <si>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</si>
  <si>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</si>
  <si>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</si>
  <si>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</si>
  <si>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</si>
  <si>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</si>
  <si>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</si>
  <si>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</si>
  <si>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</si>
  <si>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</si>
  <si>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</si>
  <si>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</si>
  <si>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</si>
  <si>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</si>
  <si>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</si>
  <si>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</si>
  <si>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</si>
  <si>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</si>
  <si>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</si>
  <si>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</si>
  <si>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</si>
  <si>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</si>
  <si>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</si>
  <si>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</si>
  <si>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</si>
  <si>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</si>
  <si>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</si>
  <si>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</si>
  <si>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</si>
  <si>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</si>
  <si>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</si>
  <si>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</si>
  <si>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</si>
  <si>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</si>
  <si>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</si>
  <si>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</si>
  <si>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</si>
  <si>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</si>
  <si>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</si>
  <si>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</si>
  <si>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</si>
  <si>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</si>
  <si>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</si>
  <si>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</si>
  <si>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</si>
  <si>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</si>
  <si>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</si>
  <si>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</si>
  <si>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</si>
  <si>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</si>
  <si>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</si>
  <si>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</si>
  <si>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</si>
  <si>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</si>
  <si>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</si>
  <si>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</si>
  <si>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</si>
  <si>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</si>
  <si>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</si>
  <si>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</si>
  <si>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</si>
  <si>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</si>
  <si>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</si>
  <si>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</si>
  <si>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</si>
  <si>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</si>
  <si>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</si>
  <si>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</si>
  <si>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</si>
  <si>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</si>
  <si>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</si>
  <si>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</si>
  <si>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</si>
  <si>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</si>
  <si>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</si>
  <si>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</si>
  <si>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</si>
  <si>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</si>
  <si>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</si>
  <si>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</si>
  <si>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</si>
  <si>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</si>
  <si>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</si>
  <si>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</si>
  <si>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</si>
  <si>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</si>
  <si>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</si>
  <si>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</si>
  <si>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</si>
  <si>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</si>
  <si>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</si>
  <si>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</si>
  <si>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</si>
  <si>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</si>
  <si>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</si>
  <si>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</si>
  <si>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</si>
  <si>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</si>
  <si>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</si>
  <si>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</si>
  <si>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</si>
  <si>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</si>
  <si>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</si>
  <si>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</si>
  <si>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</si>
  <si>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</si>
  <si>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</si>
  <si>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</si>
  <si>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</si>
  <si>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</si>
  <si>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</si>
  <si>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</si>
  <si>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</si>
  <si>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</si>
  <si>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</si>
  <si>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</si>
  <si>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</si>
  <si>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</si>
  <si>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</si>
  <si>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</si>
  <si>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</si>
  <si>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</si>
  <si>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</si>
  <si>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</si>
  <si>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</si>
  <si>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</si>
  <si>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</si>
  <si>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</si>
  <si>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</si>
  <si>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</si>
  <si>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</si>
  <si>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</si>
  <si>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</si>
  <si>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</si>
  <si>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</si>
  <si>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</si>
  <si>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</si>
  <si>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</si>
  <si>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</si>
  <si>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</si>
  <si>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</si>
  <si>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</si>
  <si>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</si>
  <si>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</si>
  <si>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</si>
  <si>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</si>
  <si>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</si>
  <si>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</si>
  <si>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</si>
  <si>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</si>
  <si>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</si>
  <si>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</si>
  <si>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</si>
  <si>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</si>
  <si>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</si>
  <si>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</si>
  <si>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</si>
  <si>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</si>
  <si>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</si>
  <si>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</si>
  <si>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</si>
  <si>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</si>
  <si>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</si>
  <si>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</si>
  <si>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</si>
  <si>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</si>
  <si>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</si>
  <si>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</si>
  <si>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</si>
  <si>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</si>
  <si>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</si>
  <si>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</si>
  <si>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</si>
  <si>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</si>
  <si>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</si>
  <si>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</si>
  <si>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</si>
  <si>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</si>
  <si>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</si>
  <si>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</si>
  <si>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</si>
  <si>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</si>
  <si>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</si>
  <si>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</si>
  <si>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</si>
  <si>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</si>
  <si>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</si>
  <si>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</si>
  <si>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</si>
  <si>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</si>
  <si>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</si>
  <si>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</si>
  <si>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</si>
  <si>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</si>
  <si>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</si>
  <si>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</si>
  <si>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</si>
  <si>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</si>
  <si>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</si>
  <si>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</si>
  <si>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</si>
  <si>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</si>
  <si>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</si>
  <si>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</si>
  <si>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</si>
  <si>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</si>
  <si>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</si>
  <si>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</si>
  <si>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</si>
  <si>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</si>
  <si>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</si>
  <si>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</si>
  <si>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</si>
  <si>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</si>
  <si>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</si>
  <si>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</si>
  <si>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</si>
  <si>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</si>
  <si>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</si>
  <si>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</si>
  <si>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</si>
  <si>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</si>
  <si>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</si>
  <si>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</si>
  <si>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</si>
  <si>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</si>
  <si>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</si>
  <si>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</si>
  <si>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</si>
  <si>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</si>
  <si>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</si>
  <si>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</si>
  <si>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</si>
  <si>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</si>
  <si>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</si>
  <si>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</si>
  <si>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</si>
  <si>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</si>
  <si>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</si>
  <si>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</si>
  <si>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</si>
  <si>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</si>
  <si>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</si>
  <si>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</si>
  <si>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</si>
  <si>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</si>
  <si>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</si>
  <si>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</si>
  <si>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</si>
  <si>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</si>
  <si>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</si>
  <si>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</si>
  <si>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</si>
  <si>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</si>
  <si>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</si>
  <si>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</si>
  <si>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</si>
  <si>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</si>
  <si>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</si>
  <si>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</si>
  <si>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</si>
  <si>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</si>
  <si>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</si>
  <si>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</si>
  <si>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</si>
  <si>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</si>
  <si>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</si>
  <si>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</si>
  <si>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</si>
  <si>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</si>
  <si>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</si>
  <si>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</si>
  <si>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</si>
  <si>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</si>
  <si>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</si>
  <si>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</si>
  <si>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</si>
  <si>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</si>
  <si>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</si>
  <si>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</si>
  <si>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</si>
  <si>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</si>
  <si>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</si>
  <si>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</si>
  <si>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</si>
  <si>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</si>
  <si>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</si>
  <si>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</si>
  <si>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</si>
  <si>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</si>
  <si>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</si>
  <si>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</si>
  <si>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</si>
  <si>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</si>
  <si>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</si>
  <si>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</si>
  <si>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</si>
  <si>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</si>
  <si>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</si>
  <si>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</si>
  <si>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</si>
  <si>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</si>
  <si>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</si>
  <si>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</si>
  <si>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</si>
  <si>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</si>
  <si>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</si>
  <si>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</si>
  <si>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</si>
  <si>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</si>
  <si>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</si>
  <si>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</si>
  <si>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</si>
  <si>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</si>
  <si>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</si>
  <si>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</si>
  <si>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</si>
  <si>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</si>
  <si>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</si>
  <si>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</si>
  <si>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</si>
  <si>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</si>
  <si>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</si>
  <si>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</si>
  <si>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</si>
  <si>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</si>
  <si>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</si>
  <si>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</si>
  <si>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</si>
  <si>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</si>
  <si>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</si>
  <si>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</si>
  <si>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</si>
  <si>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</si>
  <si>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</si>
  <si>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</si>
  <si>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</si>
  <si>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</si>
  <si>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</si>
  <si>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</si>
  <si>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</si>
  <si>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</si>
  <si>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</si>
  <si>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</si>
  <si>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</si>
  <si>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</si>
  <si>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</si>
  <si>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</si>
  <si>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</si>
  <si>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</si>
  <si>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</si>
  <si>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</si>
  <si>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</si>
  <si>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</si>
  <si>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</si>
  <si>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</si>
  <si>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</si>
  <si>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</si>
  <si>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</si>
  <si>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</si>
  <si>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</si>
  <si>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</si>
  <si>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</si>
  <si>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</si>
  <si>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</si>
  <si>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</si>
  <si>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</si>
  <si>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</si>
  <si>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</si>
  <si>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</si>
  <si>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</si>
  <si>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</si>
  <si>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</si>
  <si>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</si>
  <si>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</si>
  <si>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</si>
  <si>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</si>
  <si>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</si>
  <si>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</si>
  <si>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</si>
  <si>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</si>
  <si>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</si>
  <si>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</si>
  <si>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</si>
  <si>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</si>
  <si>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</si>
  <si>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</si>
  <si>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</si>
  <si>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</si>
  <si>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</si>
  <si>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</si>
  <si>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</si>
  <si>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</si>
  <si>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</si>
  <si>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</si>
  <si>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</si>
  <si>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</si>
  <si>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</si>
  <si>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</si>
  <si>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</si>
  <si>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</si>
  <si>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</si>
  <si>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</si>
  <si>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</si>
  <si>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</si>
  <si>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</si>
  <si>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</si>
  <si>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</si>
  <si>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</si>
  <si>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</si>
  <si>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</si>
  <si>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</si>
  <si>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</si>
  <si>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</si>
  <si>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</si>
  <si>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</si>
  <si>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</si>
  <si>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</si>
  <si>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</si>
  <si>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</si>
  <si>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</si>
  <si>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</si>
  <si>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</si>
  <si>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</si>
  <si>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</si>
  <si>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</si>
  <si>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</si>
  <si>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</si>
  <si>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</si>
  <si>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</si>
  <si>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</si>
  <si>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</si>
  <si>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</si>
  <si>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</si>
  <si>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</si>
  <si>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</si>
  <si>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</si>
  <si>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</si>
  <si>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</si>
  <si>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</si>
  <si>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</si>
  <si>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</si>
  <si>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</si>
  <si>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</si>
  <si>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</si>
  <si>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</si>
  <si>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</si>
  <si>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</si>
  <si>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</si>
  <si>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</si>
  <si>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</si>
  <si>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</si>
  <si>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</si>
  <si>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</si>
  <si>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</si>
  <si>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</si>
  <si>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</si>
  <si>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</si>
  <si>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</si>
  <si>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</si>
  <si>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</si>
  <si>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</si>
  <si>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</si>
  <si>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</si>
  <si>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</si>
  <si>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</si>
  <si>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</si>
  <si>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</si>
  <si>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</si>
  <si>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</si>
  <si>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</si>
  <si>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</si>
  <si>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</si>
  <si>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</si>
  <si>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</si>
  <si>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</si>
  <si>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</si>
  <si>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</si>
  <si>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</si>
  <si>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</si>
  <si>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</si>
  <si>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</si>
  <si>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</si>
  <si>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</si>
  <si>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</si>
  <si>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</si>
  <si>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</si>
  <si>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</si>
  <si>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</si>
  <si>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</si>
  <si>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</si>
  <si>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</si>
  <si>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</si>
  <si>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</si>
  <si>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</si>
  <si>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</si>
  <si>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</si>
  <si>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</si>
  <si>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</si>
  <si>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</si>
  <si>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</si>
  <si>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</si>
  <si>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</si>
  <si>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</si>
  <si>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</si>
  <si>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</si>
  <si>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</si>
  <si>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</si>
  <si>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</si>
  <si>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</si>
  <si>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</si>
  <si>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</si>
  <si>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</si>
  <si>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</si>
  <si>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</si>
  <si>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</si>
  <si>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</si>
  <si>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</si>
  <si>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</si>
  <si>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</si>
  <si>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</si>
  <si>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</si>
  <si>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</si>
  <si>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</si>
  <si>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</si>
  <si>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</si>
  <si>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</si>
  <si>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</si>
  <si>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</si>
  <si>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</si>
  <si>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</si>
  <si>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</si>
  <si>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</si>
  <si>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</si>
  <si>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</si>
  <si>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</si>
  <si>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</si>
  <si>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</si>
  <si>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</si>
  <si>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</si>
  <si>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</si>
  <si>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</si>
  <si>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</si>
  <si>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</si>
  <si>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</si>
  <si>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</si>
  <si>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</si>
  <si>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</si>
  <si>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</si>
  <si>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</si>
  <si>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</si>
  <si>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</si>
  <si>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</si>
  <si>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</si>
  <si>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</si>
  <si>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</si>
  <si>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</si>
  <si>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</si>
  <si>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</si>
  <si>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</si>
  <si>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</si>
  <si>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</si>
  <si>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</si>
  <si>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</si>
  <si>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</si>
  <si>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</si>
  <si>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</si>
  <si>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</si>
  <si>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</si>
  <si>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</si>
  <si>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</si>
  <si>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</si>
  <si>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</si>
  <si>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</si>
  <si>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</si>
  <si>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</si>
  <si>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</si>
  <si>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</si>
  <si>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</si>
  <si>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</si>
  <si>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</si>
  <si>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</si>
  <si>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</si>
  <si>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</si>
  <si>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</si>
  <si>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</si>
  <si>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</si>
  <si>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</si>
  <si>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</si>
  <si>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</si>
  <si>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</si>
  <si>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</si>
  <si>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</si>
  <si>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</si>
  <si>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</si>
  <si>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</si>
  <si>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</si>
  <si>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</si>
  <si>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</si>
  <si>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</si>
  <si>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</si>
  <si>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</si>
  <si>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</si>
  <si>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</si>
  <si>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</si>
  <si>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</si>
  <si>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</si>
  <si>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</si>
  <si>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</si>
  <si>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</si>
  <si>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</si>
  <si>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</si>
  <si>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</si>
  <si>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</si>
  <si>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</si>
  <si>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</si>
  <si>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</si>
  <si>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</si>
  <si>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</si>
  <si>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</si>
  <si>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</si>
  <si>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</si>
  <si>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</si>
  <si>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</si>
  <si>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</si>
  <si>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</si>
  <si>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</si>
  <si>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</si>
  <si>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</si>
  <si>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</si>
  <si>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</si>
  <si>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</si>
  <si>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</si>
  <si>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</si>
  <si>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</si>
  <si>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</si>
  <si>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</si>
  <si>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</si>
  <si>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</si>
  <si>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</si>
  <si>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</si>
  <si>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</si>
  <si>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</si>
  <si>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</si>
  <si>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</si>
  <si>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</si>
  <si>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</si>
  <si>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</si>
  <si>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JOHN STARK SCHOOL DISTRICT</t>
  </si>
  <si>
    <t>Prior Year Def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</si>
</sst>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90" zoomScaleNormal="90" workbookViewId="0">
      <pane xSplit="5" ySplit="3" topLeftCell="F631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275</v>
      </c>
      <c r="C2" s="21">
        <v>0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v>834804.39</v>
      </c>
      <c r="G9" s="18">
        <v>27859.64</v>
      </c>
      <c r="H9" s="18">
        <v>-2800.04</v>
      </c>
      <c r="I9" s="18">
        <v>0</v>
      </c>
      <c r="J9" s="67">
        <f>SUM(I439)</f>
        <v>663605.16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>
        <v>0</v>
      </c>
      <c r="G10" s="18">
        <v>0</v>
      </c>
      <c r="H10" s="18">
        <v>0</v>
      </c>
      <c r="I10" s="18">
        <v>0</v>
      </c>
      <c r="J10" s="67">
        <f>SUM(I440)</f>
        <v>0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>
        <v>0</v>
      </c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>
        <v>0</v>
      </c>
      <c r="G12" s="18">
        <v>839.68</v>
      </c>
      <c r="H12" s="18">
        <v>0</v>
      </c>
      <c r="I12" s="18">
        <v>0</v>
      </c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>
        <v>8747.92</v>
      </c>
      <c r="G13" s="18">
        <v>5875.78</v>
      </c>
      <c r="H13" s="18">
        <v>4007.53</v>
      </c>
      <c r="I13" s="18">
        <v>0</v>
      </c>
      <c r="J13" s="67">
        <f>SUM(I442)</f>
        <v>0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>
        <v>1150.26</v>
      </c>
      <c r="G14" s="18">
        <v>0</v>
      </c>
      <c r="H14" s="18">
        <v>0</v>
      </c>
      <c r="I14" s="18">
        <v>0</v>
      </c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>
        <v>0</v>
      </c>
      <c r="G16" s="18">
        <v>0</v>
      </c>
      <c r="H16" s="18">
        <v>0</v>
      </c>
      <c r="I16" s="18">
        <v>0</v>
      </c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>
        <v>0</v>
      </c>
      <c r="G17" s="18">
        <v>0</v>
      </c>
      <c r="H17" s="18">
        <v>0</v>
      </c>
      <c r="I17" s="18">
        <v>0</v>
      </c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>
        <v>0</v>
      </c>
      <c r="G18" s="18">
        <v>0</v>
      </c>
      <c r="H18" s="145">
        <v>0</v>
      </c>
      <c r="I18" s="18">
        <v>0</v>
      </c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844702.57000000007</v>
      </c>
      <c r="G19" s="41">
        <f>SUM(G9:G18)</f>
        <v>34575.1</v>
      </c>
      <c r="H19" s="41">
        <f>SUM(H9:H18)</f>
        <v>1207.4900000000002</v>
      </c>
      <c r="I19" s="41">
        <f>SUM(I9:I18)</f>
        <v>0</v>
      </c>
      <c r="J19" s="41">
        <f>SUM(J9:J18)</f>
        <v>663605.16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>
        <v>0</v>
      </c>
      <c r="G22" s="18">
        <v>0</v>
      </c>
      <c r="H22" s="18">
        <v>0</v>
      </c>
      <c r="I22" s="18">
        <v>0</v>
      </c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>
        <v>0</v>
      </c>
      <c r="G23" s="18">
        <v>0</v>
      </c>
      <c r="H23" s="18">
        <v>0</v>
      </c>
      <c r="I23" s="18">
        <v>0</v>
      </c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34126.769999999997</v>
      </c>
      <c r="G24" s="18">
        <v>0</v>
      </c>
      <c r="H24" s="18">
        <v>0</v>
      </c>
      <c r="I24" s="18">
        <v>0</v>
      </c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>
        <v>41472.019999999997</v>
      </c>
      <c r="G25" s="145">
        <v>0</v>
      </c>
      <c r="H25" s="18">
        <v>0</v>
      </c>
      <c r="I25" s="18">
        <v>0</v>
      </c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>
        <v>0</v>
      </c>
      <c r="G26" s="24" t="s">
        <v>288</v>
      </c>
      <c r="H26" s="24" t="s">
        <v>288</v>
      </c>
      <c r="I26" s="18">
        <v>0</v>
      </c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>
        <v>0</v>
      </c>
      <c r="G27" s="24" t="s">
        <v>288</v>
      </c>
      <c r="H27" s="24" t="s">
        <v>288</v>
      </c>
      <c r="I27" s="18">
        <v>0</v>
      </c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>
        <v>34420.22</v>
      </c>
      <c r="G28" s="18">
        <v>0</v>
      </c>
      <c r="H28" s="18">
        <v>0</v>
      </c>
      <c r="I28" s="18">
        <v>0</v>
      </c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>
        <v>35187.47</v>
      </c>
      <c r="G29" s="18">
        <v>0</v>
      </c>
      <c r="H29" s="18">
        <v>0</v>
      </c>
      <c r="I29" s="18">
        <v>0</v>
      </c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>
        <v>0</v>
      </c>
      <c r="G30" s="18">
        <v>6638.88</v>
      </c>
      <c r="H30" s="18">
        <v>-1382</v>
      </c>
      <c r="I30" s="18">
        <v>0</v>
      </c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>
        <v>0</v>
      </c>
      <c r="G31" s="18">
        <v>0</v>
      </c>
      <c r="H31" s="18">
        <v>0</v>
      </c>
      <c r="I31" s="18">
        <v>0</v>
      </c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145206.47999999998</v>
      </c>
      <c r="G32" s="41">
        <f>SUM(G22:G31)</f>
        <v>6638.88</v>
      </c>
      <c r="H32" s="41">
        <f>SUM(H22:H31)</f>
        <v>-1382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>
        <v>0</v>
      </c>
      <c r="G35" s="18">
        <v>0</v>
      </c>
      <c r="H35" s="18">
        <v>0</v>
      </c>
      <c r="I35" s="18">
        <v>0</v>
      </c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>
        <v>0</v>
      </c>
      <c r="G36" s="18">
        <v>0</v>
      </c>
      <c r="H36" s="18">
        <v>0</v>
      </c>
      <c r="I36" s="18">
        <v>0</v>
      </c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>
        <v>0</v>
      </c>
      <c r="G37" s="18">
        <v>0</v>
      </c>
      <c r="H37" s="18">
        <v>0</v>
      </c>
      <c r="I37" s="18">
        <v>0</v>
      </c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>
        <v>0</v>
      </c>
      <c r="G39" s="18">
        <v>0</v>
      </c>
      <c r="H39" s="18">
        <v>0</v>
      </c>
      <c r="I39" s="18">
        <v>0</v>
      </c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/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>
        <v>0</v>
      </c>
      <c r="G43" s="18">
        <v>0</v>
      </c>
      <c r="H43" s="18">
        <v>0</v>
      </c>
      <c r="I43" s="18">
        <v>0</v>
      </c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>
        <v>0</v>
      </c>
      <c r="G44" s="18">
        <v>0</v>
      </c>
      <c r="H44" s="18">
        <v>0</v>
      </c>
      <c r="I44" s="18">
        <v>0</v>
      </c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>
        <v>0</v>
      </c>
      <c r="G45" s="18">
        <v>0</v>
      </c>
      <c r="H45" s="18">
        <v>0</v>
      </c>
      <c r="I45" s="18">
        <v>0</v>
      </c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/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>
        <v>0</v>
      </c>
      <c r="G48" s="18">
        <v>27936.22</v>
      </c>
      <c r="H48" s="18">
        <v>2589.4899999999998</v>
      </c>
      <c r="I48" s="18">
        <v>0</v>
      </c>
      <c r="J48" s="13">
        <f>SUM(I459)</f>
        <v>663605.16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>
        <v>0</v>
      </c>
      <c r="G49" s="18"/>
      <c r="H49" s="18">
        <v>0</v>
      </c>
      <c r="I49" s="18">
        <v>0</v>
      </c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v>699496.09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699496.09</v>
      </c>
      <c r="G51" s="41">
        <f>SUM(G35:G50)</f>
        <v>27936.22</v>
      </c>
      <c r="H51" s="41">
        <f>SUM(H35:H50)</f>
        <v>2589.4899999999998</v>
      </c>
      <c r="I51" s="41">
        <f>SUM(I35:I50)</f>
        <v>0</v>
      </c>
      <c r="J51" s="41">
        <f>SUM(J35:J50)</f>
        <v>663605.16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844702.57</v>
      </c>
      <c r="G52" s="41">
        <f>G51+G32</f>
        <v>34575.1</v>
      </c>
      <c r="H52" s="41">
        <f>H51+H32</f>
        <v>1207.4899999999998</v>
      </c>
      <c r="I52" s="41">
        <f>I51+I32</f>
        <v>0</v>
      </c>
      <c r="J52" s="41">
        <f>J51+J32</f>
        <v>663605.16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7818139</v>
      </c>
      <c r="G57" s="18">
        <v>0</v>
      </c>
      <c r="H57" s="18">
        <v>0</v>
      </c>
      <c r="I57" s="18">
        <v>0</v>
      </c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>
        <v>0</v>
      </c>
      <c r="G58" s="18">
        <v>0</v>
      </c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>
        <v>0</v>
      </c>
      <c r="G59" s="18">
        <v>0</v>
      </c>
      <c r="H59" s="18">
        <v>0</v>
      </c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7818139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>
        <v>0</v>
      </c>
      <c r="G63" s="24" t="s">
        <v>288</v>
      </c>
      <c r="H63" s="18">
        <v>0</v>
      </c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>
        <v>0</v>
      </c>
      <c r="G64" s="24" t="s">
        <v>288</v>
      </c>
      <c r="H64" s="18">
        <v>0</v>
      </c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>
        <v>0</v>
      </c>
      <c r="G65" s="24" t="s">
        <v>288</v>
      </c>
      <c r="H65" s="18">
        <v>0</v>
      </c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>
        <v>0</v>
      </c>
      <c r="G66" s="24" t="s">
        <v>288</v>
      </c>
      <c r="H66" s="18">
        <v>0</v>
      </c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>
        <v>0</v>
      </c>
      <c r="G68" s="24" t="s">
        <v>288</v>
      </c>
      <c r="H68" s="18">
        <v>0</v>
      </c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>
        <v>0</v>
      </c>
      <c r="G69" s="24" t="s">
        <v>288</v>
      </c>
      <c r="H69" s="18">
        <v>0</v>
      </c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>
        <v>0</v>
      </c>
      <c r="G70" s="24" t="s">
        <v>288</v>
      </c>
      <c r="H70" s="18">
        <v>0</v>
      </c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>
        <v>0</v>
      </c>
      <c r="G72" s="24" t="s">
        <v>288</v>
      </c>
      <c r="H72" s="18">
        <v>0</v>
      </c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>
        <v>0</v>
      </c>
      <c r="G73" s="24" t="s">
        <v>288</v>
      </c>
      <c r="H73" s="18">
        <v>0</v>
      </c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>
        <v>0</v>
      </c>
      <c r="G74" s="24" t="s">
        <v>288</v>
      </c>
      <c r="H74" s="18">
        <v>0</v>
      </c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>
        <v>0</v>
      </c>
      <c r="G76" s="24" t="s">
        <v>288</v>
      </c>
      <c r="H76" s="18">
        <v>0</v>
      </c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>
        <v>0</v>
      </c>
      <c r="G77" s="24" t="s">
        <v>288</v>
      </c>
      <c r="H77" s="18">
        <v>0</v>
      </c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>
        <v>0</v>
      </c>
      <c r="G78" s="24" t="s">
        <v>288</v>
      </c>
      <c r="H78" s="18">
        <v>0</v>
      </c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0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>
        <v>0</v>
      </c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>
        <v>0</v>
      </c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>
        <v>14785.79</v>
      </c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>
        <v>0</v>
      </c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>
        <v>0</v>
      </c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>
        <v>0</v>
      </c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>
        <v>0</v>
      </c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>
        <v>0</v>
      </c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>
        <v>0</v>
      </c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14785.79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0</v>
      </c>
      <c r="G96" s="18">
        <v>0</v>
      </c>
      <c r="H96" s="18"/>
      <c r="I96" s="18"/>
      <c r="J96" s="18">
        <v>1696.89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v>229493.75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>
        <v>0</v>
      </c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>
        <v>0</v>
      </c>
      <c r="G99" s="18">
        <v>0</v>
      </c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>
        <v>0</v>
      </c>
      <c r="G101" s="18">
        <v>0</v>
      </c>
      <c r="H101" s="18">
        <v>0</v>
      </c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>
        <v>0</v>
      </c>
      <c r="G102" s="18">
        <v>0</v>
      </c>
      <c r="H102" s="18">
        <v>2998</v>
      </c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>
        <v>0</v>
      </c>
      <c r="G103" s="18">
        <v>0</v>
      </c>
      <c r="H103" s="18">
        <v>0</v>
      </c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>
        <v>0</v>
      </c>
      <c r="G104" s="24" t="s">
        <v>288</v>
      </c>
      <c r="H104" s="18">
        <v>0</v>
      </c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>
        <v>0</v>
      </c>
      <c r="G105" s="18">
        <v>0</v>
      </c>
      <c r="H105" s="18">
        <v>0</v>
      </c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>
        <v>0</v>
      </c>
      <c r="G106" s="18">
        <v>0</v>
      </c>
      <c r="H106" s="18">
        <v>0</v>
      </c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>
        <v>0</v>
      </c>
      <c r="G107" s="18">
        <v>0</v>
      </c>
      <c r="H107" s="18">
        <v>0</v>
      </c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>
        <v>0</v>
      </c>
      <c r="G108" s="18">
        <v>0</v>
      </c>
      <c r="H108" s="18">
        <v>0</v>
      </c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>
        <v>1497.4</v>
      </c>
      <c r="G109" s="18">
        <v>0</v>
      </c>
      <c r="H109" s="18">
        <v>0</v>
      </c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v>34184.22</v>
      </c>
      <c r="G110" s="18">
        <v>0</v>
      </c>
      <c r="H110" s="18">
        <v>0</v>
      </c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35681.620000000003</v>
      </c>
      <c r="G111" s="41">
        <f>SUM(G96:G110)</f>
        <v>229493.75</v>
      </c>
      <c r="H111" s="41">
        <f>SUM(H96:H110)</f>
        <v>2998</v>
      </c>
      <c r="I111" s="41">
        <f>SUM(I96:I110)</f>
        <v>0</v>
      </c>
      <c r="J111" s="41">
        <f>SUM(J96:J110)</f>
        <v>1696.89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7868606.4100000001</v>
      </c>
      <c r="G112" s="41">
        <f>G60+G111</f>
        <v>229493.75</v>
      </c>
      <c r="H112" s="41">
        <f>H60+H79+H94+H111</f>
        <v>2998</v>
      </c>
      <c r="I112" s="41">
        <f>I60+I111</f>
        <v>0</v>
      </c>
      <c r="J112" s="41">
        <f>J60+J111</f>
        <v>1696.89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3311030.01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935656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>
        <v>0</v>
      </c>
      <c r="G120" s="18">
        <v>0</v>
      </c>
      <c r="H120" s="18">
        <v>0</v>
      </c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4246686.01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>
        <v>0</v>
      </c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>
        <v>0</v>
      </c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>
        <v>0</v>
      </c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>
        <v>83185.16</v>
      </c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>
        <v>0</v>
      </c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>
        <v>17560.5</v>
      </c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>
        <v>0</v>
      </c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>
        <v>0</v>
      </c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>
        <v>0</v>
      </c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v>4165.1400000000003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>
        <v>0</v>
      </c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>
        <v>0</v>
      </c>
      <c r="G135" s="18">
        <v>0</v>
      </c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100745.66</v>
      </c>
      <c r="G136" s="41">
        <f>SUM(G123:G135)</f>
        <v>4165.1400000000003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>
        <v>0</v>
      </c>
      <c r="G137" s="18">
        <v>0</v>
      </c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>
        <v>0</v>
      </c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4347431.67</v>
      </c>
      <c r="G140" s="41">
        <f>G121+SUM(G136:G137)</f>
        <v>4165.1400000000003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>
        <v>0</v>
      </c>
      <c r="G145" s="18">
        <v>0</v>
      </c>
      <c r="H145" s="18">
        <v>0</v>
      </c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>
        <v>0</v>
      </c>
      <c r="G146" s="18">
        <v>0</v>
      </c>
      <c r="H146" s="18">
        <v>0</v>
      </c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>
        <v>0</v>
      </c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>
        <v>0</v>
      </c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>
        <v>0</v>
      </c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v>0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v>8500.26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>
        <v>0</v>
      </c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v>71090.27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>
        <v>0</v>
      </c>
      <c r="G159" s="24" t="s">
        <v>288</v>
      </c>
      <c r="H159" s="18"/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104022.6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>
        <v>0</v>
      </c>
      <c r="G161" s="18"/>
      <c r="H161" s="18">
        <v>0</v>
      </c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104022.6</v>
      </c>
      <c r="G162" s="41">
        <f>SUM(G150:G161)</f>
        <v>71090.27</v>
      </c>
      <c r="H162" s="41">
        <f>SUM(H150:H161)</f>
        <v>8500.26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>
        <v>0</v>
      </c>
      <c r="G163" s="18">
        <v>0</v>
      </c>
      <c r="H163" s="18">
        <v>0</v>
      </c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>
        <v>0</v>
      </c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>
        <v>0</v>
      </c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>
        <v>0</v>
      </c>
      <c r="G168" s="18">
        <v>0</v>
      </c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104022.6</v>
      </c>
      <c r="G169" s="41">
        <f>G147+G162+SUM(G163:G168)</f>
        <v>71090.27</v>
      </c>
      <c r="H169" s="41">
        <f>H147+H162+SUM(H163:H168)</f>
        <v>8500.26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>
        <v>0</v>
      </c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>
        <v>0</v>
      </c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>
        <v>0</v>
      </c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>
        <v>0</v>
      </c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>
        <v>0</v>
      </c>
      <c r="H179" s="18"/>
      <c r="I179" s="18"/>
      <c r="J179" s="18">
        <v>50000</v>
      </c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>
        <v>0</v>
      </c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>
        <v>0</v>
      </c>
      <c r="G181" s="18">
        <v>0</v>
      </c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>
        <v>0</v>
      </c>
      <c r="G182" s="18">
        <v>0</v>
      </c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50000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>
        <v>0</v>
      </c>
      <c r="G185" s="18">
        <v>0</v>
      </c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>
        <v>0</v>
      </c>
      <c r="G186" s="18">
        <v>0</v>
      </c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>
        <v>0</v>
      </c>
      <c r="G187" s="18">
        <v>0</v>
      </c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>
        <v>0</v>
      </c>
      <c r="G189" s="18">
        <v>0</v>
      </c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>
        <v>0</v>
      </c>
      <c r="G190" s="18">
        <v>0</v>
      </c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>
        <v>0</v>
      </c>
      <c r="G191" s="18">
        <v>0</v>
      </c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50000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12320060.68</v>
      </c>
      <c r="G193" s="47">
        <f>G112+G140+G169+G192</f>
        <v>304749.16000000003</v>
      </c>
      <c r="H193" s="47">
        <f>H112+H140+H169+H192</f>
        <v>11498.26</v>
      </c>
      <c r="I193" s="47">
        <f>I112+I140+I169+I192</f>
        <v>0</v>
      </c>
      <c r="J193" s="47">
        <f>J112+J140+J192</f>
        <v>51696.89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/>
      <c r="G197" s="18"/>
      <c r="H197" s="18"/>
      <c r="I197" s="18"/>
      <c r="J197" s="18"/>
      <c r="K197" s="18"/>
      <c r="L197" s="19">
        <f>SUM(F197:K197)</f>
        <v>0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/>
      <c r="G202" s="18"/>
      <c r="H202" s="18"/>
      <c r="I202" s="18"/>
      <c r="J202" s="18"/>
      <c r="K202" s="18"/>
      <c r="L202" s="19">
        <f t="shared" ref="L202:L208" si="0">SUM(F202:K202)</f>
        <v>0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/>
      <c r="G203" s="18"/>
      <c r="H203" s="18"/>
      <c r="I203" s="18"/>
      <c r="J203" s="18"/>
      <c r="K203" s="18"/>
      <c r="L203" s="19">
        <f t="shared" si="0"/>
        <v>0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/>
      <c r="G204" s="18"/>
      <c r="H204" s="18"/>
      <c r="I204" s="18"/>
      <c r="J204" s="18"/>
      <c r="K204" s="18"/>
      <c r="L204" s="19">
        <f t="shared" si="0"/>
        <v>0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/>
      <c r="G207" s="18"/>
      <c r="H207" s="18"/>
      <c r="I207" s="18"/>
      <c r="J207" s="18"/>
      <c r="K207" s="18"/>
      <c r="L207" s="19">
        <f t="shared" si="0"/>
        <v>0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/>
      <c r="G208" s="18"/>
      <c r="H208" s="18"/>
      <c r="I208" s="18"/>
      <c r="J208" s="18"/>
      <c r="K208" s="18"/>
      <c r="L208" s="19">
        <f t="shared" si="0"/>
        <v>0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0</v>
      </c>
      <c r="G211" s="41">
        <f t="shared" si="1"/>
        <v>0</v>
      </c>
      <c r="H211" s="41">
        <f t="shared" si="1"/>
        <v>0</v>
      </c>
      <c r="I211" s="41">
        <f t="shared" si="1"/>
        <v>0</v>
      </c>
      <c r="J211" s="41">
        <f t="shared" si="1"/>
        <v>0</v>
      </c>
      <c r="K211" s="41">
        <f t="shared" si="1"/>
        <v>0</v>
      </c>
      <c r="L211" s="41">
        <f t="shared" si="1"/>
        <v>0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>
        <v>3337708.14</v>
      </c>
      <c r="G233" s="18">
        <v>1634355.83</v>
      </c>
      <c r="H233" s="18">
        <v>162603</v>
      </c>
      <c r="I233" s="18">
        <v>133285.21</v>
      </c>
      <c r="J233" s="18">
        <v>37763.78</v>
      </c>
      <c r="K233" s="18">
        <v>11588.67</v>
      </c>
      <c r="L233" s="19">
        <f>SUM(F233:K233)</f>
        <v>5317304.6300000008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>
        <v>1190985.3899999999</v>
      </c>
      <c r="G234" s="18">
        <v>546447.13</v>
      </c>
      <c r="H234" s="18">
        <v>181411.69</v>
      </c>
      <c r="I234" s="18">
        <v>11063.57</v>
      </c>
      <c r="J234" s="18">
        <v>1700.4</v>
      </c>
      <c r="K234" s="18">
        <v>13203.86</v>
      </c>
      <c r="L234" s="19">
        <f>SUM(F234:K234)</f>
        <v>1944812.04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>
        <v>0</v>
      </c>
      <c r="G235" s="18">
        <v>0</v>
      </c>
      <c r="H235" s="18">
        <v>66943.41</v>
      </c>
      <c r="I235" s="18">
        <v>0</v>
      </c>
      <c r="J235" s="18">
        <v>0</v>
      </c>
      <c r="K235" s="18">
        <v>0</v>
      </c>
      <c r="L235" s="19">
        <f>SUM(F235:K235)</f>
        <v>66943.41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>
        <v>299887.55</v>
      </c>
      <c r="G236" s="18">
        <v>72845.509999999995</v>
      </c>
      <c r="H236" s="18">
        <v>83247.72</v>
      </c>
      <c r="I236" s="18">
        <v>16660.2</v>
      </c>
      <c r="J236" s="18">
        <v>16329.79</v>
      </c>
      <c r="K236" s="18">
        <v>42643.16</v>
      </c>
      <c r="L236" s="19">
        <f>SUM(F236:K236)</f>
        <v>531613.93000000005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>
        <v>621809.73</v>
      </c>
      <c r="G238" s="18">
        <v>297475.39</v>
      </c>
      <c r="H238" s="18">
        <v>35358.26</v>
      </c>
      <c r="I238" s="18">
        <v>3481.44</v>
      </c>
      <c r="J238" s="18">
        <v>0</v>
      </c>
      <c r="K238" s="18">
        <v>0</v>
      </c>
      <c r="L238" s="19">
        <f t="shared" ref="L238:L244" si="4">SUM(F238:K238)</f>
        <v>958124.82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>
        <v>187564.89</v>
      </c>
      <c r="G239" s="18">
        <v>154214.10999999999</v>
      </c>
      <c r="H239" s="18">
        <v>14039.87</v>
      </c>
      <c r="I239" s="18">
        <v>27987.8</v>
      </c>
      <c r="J239" s="18">
        <v>127710.54</v>
      </c>
      <c r="K239" s="18">
        <v>79096.94</v>
      </c>
      <c r="L239" s="19">
        <f t="shared" si="4"/>
        <v>590614.14999999991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>
        <v>6400</v>
      </c>
      <c r="G240" s="18">
        <v>33917.61</v>
      </c>
      <c r="H240" s="18">
        <v>448415</v>
      </c>
      <c r="I240" s="18">
        <v>3754.82</v>
      </c>
      <c r="J240" s="18">
        <v>0</v>
      </c>
      <c r="K240" s="18">
        <v>6819.01</v>
      </c>
      <c r="L240" s="19">
        <f t="shared" si="4"/>
        <v>499306.44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>
        <v>461730.9</v>
      </c>
      <c r="G241" s="18">
        <v>204402.17</v>
      </c>
      <c r="H241" s="18">
        <v>45893.91</v>
      </c>
      <c r="I241" s="18">
        <v>3438.81</v>
      </c>
      <c r="J241" s="18">
        <v>0</v>
      </c>
      <c r="K241" s="18">
        <v>24808.38</v>
      </c>
      <c r="L241" s="19">
        <f t="shared" si="4"/>
        <v>740274.17000000016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>
        <v>0</v>
      </c>
      <c r="G242" s="18">
        <v>0</v>
      </c>
      <c r="H242" s="18">
        <v>0</v>
      </c>
      <c r="I242" s="18">
        <v>0</v>
      </c>
      <c r="J242" s="18">
        <v>0</v>
      </c>
      <c r="K242" s="18">
        <v>0</v>
      </c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>
        <v>282142.75</v>
      </c>
      <c r="G243" s="18">
        <v>125644.13</v>
      </c>
      <c r="H243" s="18">
        <v>298638.21999999997</v>
      </c>
      <c r="I243" s="18">
        <f>294550.62+296.51</f>
        <v>294847.13</v>
      </c>
      <c r="J243" s="18">
        <v>21384.57</v>
      </c>
      <c r="K243" s="18">
        <v>0</v>
      </c>
      <c r="L243" s="19">
        <f t="shared" si="4"/>
        <v>1022656.7999999999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>
        <v>21076.47</v>
      </c>
      <c r="G244" s="18">
        <v>16821.87</v>
      </c>
      <c r="H244" s="18">
        <v>445720.69</v>
      </c>
      <c r="I244" s="18">
        <v>0</v>
      </c>
      <c r="J244" s="18">
        <v>0</v>
      </c>
      <c r="K244" s="18">
        <v>0</v>
      </c>
      <c r="L244" s="19">
        <f t="shared" si="4"/>
        <v>483619.03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>
        <v>0</v>
      </c>
      <c r="G245" s="18">
        <v>0</v>
      </c>
      <c r="H245" s="18">
        <v>0</v>
      </c>
      <c r="I245" s="18">
        <v>0</v>
      </c>
      <c r="J245" s="18">
        <v>0</v>
      </c>
      <c r="K245" s="18">
        <v>0</v>
      </c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6409305.8200000003</v>
      </c>
      <c r="G247" s="41">
        <f t="shared" si="5"/>
        <v>3086123.7499999995</v>
      </c>
      <c r="H247" s="41">
        <f t="shared" si="5"/>
        <v>1782271.77</v>
      </c>
      <c r="I247" s="41">
        <f t="shared" si="5"/>
        <v>494518.98</v>
      </c>
      <c r="J247" s="41">
        <f t="shared" si="5"/>
        <v>204889.08000000002</v>
      </c>
      <c r="K247" s="41">
        <f t="shared" si="5"/>
        <v>178160.02000000002</v>
      </c>
      <c r="L247" s="41">
        <f t="shared" si="5"/>
        <v>12155269.42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/>
      <c r="I255" s="18"/>
      <c r="J255" s="18">
        <v>0</v>
      </c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6409305.8200000003</v>
      </c>
      <c r="G257" s="41">
        <f t="shared" si="8"/>
        <v>3086123.7499999995</v>
      </c>
      <c r="H257" s="41">
        <f t="shared" si="8"/>
        <v>1782271.77</v>
      </c>
      <c r="I257" s="41">
        <f t="shared" si="8"/>
        <v>494518.98</v>
      </c>
      <c r="J257" s="41">
        <f t="shared" si="8"/>
        <v>204889.08000000002</v>
      </c>
      <c r="K257" s="41">
        <f t="shared" si="8"/>
        <v>178160.02000000002</v>
      </c>
      <c r="L257" s="41">
        <f t="shared" si="8"/>
        <v>12155269.42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>
        <v>0</v>
      </c>
      <c r="L260" s="19">
        <f>SUM(F260:K260)</f>
        <v>0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>
        <v>0</v>
      </c>
      <c r="L261" s="19">
        <f>SUM(F261:K261)</f>
        <v>0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>
        <v>0</v>
      </c>
      <c r="L263" s="19">
        <f>SUM(F263:K263)</f>
        <v>0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>
        <v>0</v>
      </c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>
        <v>0</v>
      </c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>
        <v>50000</v>
      </c>
      <c r="L266" s="19">
        <f t="shared" si="9"/>
        <v>50000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50000</v>
      </c>
      <c r="L270" s="41">
        <f t="shared" si="9"/>
        <v>50000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6409305.8200000003</v>
      </c>
      <c r="G271" s="42">
        <f t="shared" si="11"/>
        <v>3086123.7499999995</v>
      </c>
      <c r="H271" s="42">
        <f t="shared" si="11"/>
        <v>1782271.77</v>
      </c>
      <c r="I271" s="42">
        <f t="shared" si="11"/>
        <v>494518.98</v>
      </c>
      <c r="J271" s="42">
        <f t="shared" si="11"/>
        <v>204889.08000000002</v>
      </c>
      <c r="K271" s="42">
        <f t="shared" si="11"/>
        <v>228160.02000000002</v>
      </c>
      <c r="L271" s="42">
        <f t="shared" si="11"/>
        <v>12205269.42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0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0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>
        <v>0</v>
      </c>
      <c r="G314" s="18">
        <v>0</v>
      </c>
      <c r="H314" s="18">
        <v>0</v>
      </c>
      <c r="I314" s="18">
        <v>1616</v>
      </c>
      <c r="J314" s="18">
        <v>0</v>
      </c>
      <c r="K314" s="18">
        <v>0</v>
      </c>
      <c r="L314" s="19">
        <f>SUM(F314:K314)</f>
        <v>1616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>
        <v>0</v>
      </c>
      <c r="G315" s="18">
        <v>0</v>
      </c>
      <c r="H315" s="18">
        <v>0</v>
      </c>
      <c r="I315" s="18">
        <v>0</v>
      </c>
      <c r="J315" s="18">
        <v>0</v>
      </c>
      <c r="K315" s="18">
        <v>0</v>
      </c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>
        <v>0</v>
      </c>
      <c r="G316" s="18">
        <v>0</v>
      </c>
      <c r="H316" s="18">
        <v>0</v>
      </c>
      <c r="I316" s="18">
        <v>0</v>
      </c>
      <c r="J316" s="18">
        <v>0</v>
      </c>
      <c r="K316" s="18">
        <v>0</v>
      </c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>
        <v>0</v>
      </c>
      <c r="G317" s="18">
        <v>0</v>
      </c>
      <c r="H317" s="18">
        <v>0</v>
      </c>
      <c r="I317" s="18">
        <v>0</v>
      </c>
      <c r="J317" s="18">
        <v>0</v>
      </c>
      <c r="K317" s="18">
        <v>0</v>
      </c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>
        <v>0</v>
      </c>
      <c r="G319" s="18">
        <v>0</v>
      </c>
      <c r="H319" s="18">
        <v>0</v>
      </c>
      <c r="I319" s="18">
        <v>0</v>
      </c>
      <c r="J319" s="18">
        <v>0</v>
      </c>
      <c r="K319" s="18">
        <v>0</v>
      </c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>
        <v>2902.76</v>
      </c>
      <c r="G320" s="18">
        <v>638.88</v>
      </c>
      <c r="H320" s="18">
        <v>4768.54</v>
      </c>
      <c r="I320" s="18">
        <v>0</v>
      </c>
      <c r="J320" s="18">
        <v>0</v>
      </c>
      <c r="K320" s="18">
        <v>0</v>
      </c>
      <c r="L320" s="19">
        <f t="shared" si="16"/>
        <v>8310.18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>
        <v>0</v>
      </c>
      <c r="G321" s="18">
        <v>0</v>
      </c>
      <c r="H321" s="18">
        <v>0</v>
      </c>
      <c r="I321" s="18">
        <v>0</v>
      </c>
      <c r="J321" s="18">
        <v>0</v>
      </c>
      <c r="K321" s="18">
        <v>190.08</v>
      </c>
      <c r="L321" s="19">
        <f t="shared" si="16"/>
        <v>190.08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>
        <v>0</v>
      </c>
      <c r="G323" s="18">
        <v>0</v>
      </c>
      <c r="H323" s="18">
        <v>0</v>
      </c>
      <c r="I323" s="18">
        <v>0</v>
      </c>
      <c r="J323" s="18">
        <v>0</v>
      </c>
      <c r="K323" s="18">
        <v>0</v>
      </c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>
        <v>0</v>
      </c>
      <c r="G324" s="18">
        <v>0</v>
      </c>
      <c r="H324" s="18">
        <v>0</v>
      </c>
      <c r="I324" s="18">
        <v>0</v>
      </c>
      <c r="J324" s="18">
        <v>0</v>
      </c>
      <c r="K324" s="18">
        <v>0</v>
      </c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>
        <v>0</v>
      </c>
      <c r="G325" s="18">
        <v>0</v>
      </c>
      <c r="H325" s="18">
        <v>0</v>
      </c>
      <c r="I325" s="18">
        <v>0</v>
      </c>
      <c r="J325" s="18">
        <v>0</v>
      </c>
      <c r="K325" s="18">
        <v>0</v>
      </c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>
        <v>0</v>
      </c>
      <c r="G326" s="18">
        <v>0</v>
      </c>
      <c r="H326" s="18">
        <v>0</v>
      </c>
      <c r="I326" s="18">
        <v>0</v>
      </c>
      <c r="J326" s="18">
        <v>0</v>
      </c>
      <c r="K326" s="18">
        <v>0</v>
      </c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2902.76</v>
      </c>
      <c r="G328" s="42">
        <f t="shared" si="17"/>
        <v>638.88</v>
      </c>
      <c r="H328" s="42">
        <f t="shared" si="17"/>
        <v>4768.54</v>
      </c>
      <c r="I328" s="42">
        <f t="shared" si="17"/>
        <v>1616</v>
      </c>
      <c r="J328" s="42">
        <f t="shared" si="17"/>
        <v>0</v>
      </c>
      <c r="K328" s="42">
        <f t="shared" si="17"/>
        <v>190.08</v>
      </c>
      <c r="L328" s="41">
        <f t="shared" si="17"/>
        <v>10116.26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>
        <v>0</v>
      </c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2902.76</v>
      </c>
      <c r="G338" s="41">
        <f t="shared" si="20"/>
        <v>638.88</v>
      </c>
      <c r="H338" s="41">
        <f t="shared" si="20"/>
        <v>4768.54</v>
      </c>
      <c r="I338" s="41">
        <f t="shared" si="20"/>
        <v>1616</v>
      </c>
      <c r="J338" s="41">
        <f t="shared" si="20"/>
        <v>0</v>
      </c>
      <c r="K338" s="41">
        <f t="shared" si="20"/>
        <v>190.08</v>
      </c>
      <c r="L338" s="41">
        <f t="shared" si="20"/>
        <v>10116.26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>
        <v>0</v>
      </c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2902.76</v>
      </c>
      <c r="G352" s="41">
        <f>G338</f>
        <v>638.88</v>
      </c>
      <c r="H352" s="41">
        <f>H338</f>
        <v>4768.54</v>
      </c>
      <c r="I352" s="41">
        <f>I338</f>
        <v>1616</v>
      </c>
      <c r="J352" s="41">
        <f>J338</f>
        <v>0</v>
      </c>
      <c r="K352" s="47">
        <f>K338+K351</f>
        <v>190.08</v>
      </c>
      <c r="L352" s="41">
        <f>L338+L351</f>
        <v>10116.26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/>
      <c r="G358" s="18"/>
      <c r="H358" s="18"/>
      <c r="I358" s="18"/>
      <c r="J358" s="18"/>
      <c r="K358" s="18"/>
      <c r="L358" s="13">
        <f>SUM(F358:K358)</f>
        <v>0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>
        <v>105067.41</v>
      </c>
      <c r="G360" s="18">
        <v>33548.019999999997</v>
      </c>
      <c r="H360" s="18">
        <v>429.5</v>
      </c>
      <c r="I360" s="18">
        <v>166927.16</v>
      </c>
      <c r="J360" s="18">
        <v>839.85</v>
      </c>
      <c r="K360" s="18">
        <v>1484.2</v>
      </c>
      <c r="L360" s="19">
        <f>SUM(F360:K360)</f>
        <v>308296.13999999996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105067.41</v>
      </c>
      <c r="G362" s="47">
        <f t="shared" si="22"/>
        <v>33548.019999999997</v>
      </c>
      <c r="H362" s="47">
        <f t="shared" si="22"/>
        <v>429.5</v>
      </c>
      <c r="I362" s="47">
        <f t="shared" si="22"/>
        <v>166927.16</v>
      </c>
      <c r="J362" s="47">
        <f t="shared" si="22"/>
        <v>839.85</v>
      </c>
      <c r="K362" s="47">
        <f t="shared" si="22"/>
        <v>1484.2</v>
      </c>
      <c r="L362" s="47">
        <f t="shared" si="22"/>
        <v>308296.13999999996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/>
      <c r="G367" s="18"/>
      <c r="H367" s="18">
        <v>140946.94</v>
      </c>
      <c r="I367" s="56">
        <f>SUM(F367:H367)</f>
        <v>140946.94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/>
      <c r="G368" s="63"/>
      <c r="H368" s="63">
        <v>25980.22</v>
      </c>
      <c r="I368" s="56">
        <f>SUM(F368:H368)</f>
        <v>25980.22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0</v>
      </c>
      <c r="G369" s="47">
        <f>SUM(G367:G368)</f>
        <v>0</v>
      </c>
      <c r="H369" s="47">
        <f>SUM(H367:H368)</f>
        <v>166927.16</v>
      </c>
      <c r="I369" s="47">
        <f>SUM(I367:I368)</f>
        <v>166927.16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>
        <v>163.38999999999999</v>
      </c>
      <c r="I389" s="18"/>
      <c r="J389" s="24" t="s">
        <v>288</v>
      </c>
      <c r="K389" s="24" t="s">
        <v>288</v>
      </c>
      <c r="L389" s="56">
        <f t="shared" si="25"/>
        <v>163.38999999999999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163.38999999999999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163.38999999999999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>
        <v>0</v>
      </c>
      <c r="H396" s="18">
        <v>1115.3900000000001</v>
      </c>
      <c r="I396" s="18"/>
      <c r="J396" s="24" t="s">
        <v>288</v>
      </c>
      <c r="K396" s="24" t="s">
        <v>288</v>
      </c>
      <c r="L396" s="56">
        <f t="shared" si="26"/>
        <v>1115.3900000000001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>
        <v>50000</v>
      </c>
      <c r="H397" s="18">
        <v>418.11</v>
      </c>
      <c r="I397" s="18"/>
      <c r="J397" s="24" t="s">
        <v>288</v>
      </c>
      <c r="K397" s="24" t="s">
        <v>288</v>
      </c>
      <c r="L397" s="56">
        <f t="shared" si="26"/>
        <v>50418.11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/>
      <c r="I398" s="18"/>
      <c r="J398" s="24" t="s">
        <v>288</v>
      </c>
      <c r="K398" s="24" t="s">
        <v>288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>
        <v>0</v>
      </c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/>
      <c r="I400" s="18"/>
      <c r="J400" s="24" t="s">
        <v>288</v>
      </c>
      <c r="K400" s="24" t="s">
        <v>288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50000</v>
      </c>
      <c r="H401" s="47">
        <f>SUM(H395:H400)</f>
        <v>1533.5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51533.5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50000</v>
      </c>
      <c r="H408" s="47">
        <f>H393+H401+H407</f>
        <v>1696.8899999999999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51696.89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>
        <v>0</v>
      </c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>
        <v>663605.16</v>
      </c>
      <c r="H439" s="18"/>
      <c r="I439" s="56">
        <f t="shared" ref="I439:I445" si="33">SUM(F439:H439)</f>
        <v>663605.16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0</v>
      </c>
      <c r="G446" s="13">
        <f>SUM(G439:G445)</f>
        <v>663605.16</v>
      </c>
      <c r="H446" s="13">
        <f>SUM(H439:H445)</f>
        <v>0</v>
      </c>
      <c r="I446" s="13">
        <f>SUM(I439:I445)</f>
        <v>663605.16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/>
      <c r="G459" s="18">
        <v>663605.16</v>
      </c>
      <c r="H459" s="18"/>
      <c r="I459" s="56">
        <f t="shared" si="34"/>
        <v>663605.16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0</v>
      </c>
      <c r="G460" s="83">
        <f>SUM(G454:G459)</f>
        <v>663605.16</v>
      </c>
      <c r="H460" s="83">
        <f>SUM(H454:H459)</f>
        <v>0</v>
      </c>
      <c r="I460" s="83">
        <f>SUM(I454:I459)</f>
        <v>663605.16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0</v>
      </c>
      <c r="G461" s="42">
        <f>G452+G460</f>
        <v>663605.16</v>
      </c>
      <c r="H461" s="42">
        <f>H452+H460</f>
        <v>0</v>
      </c>
      <c r="I461" s="42">
        <f>I452+I460</f>
        <v>663605.16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574226.27</v>
      </c>
      <c r="G465" s="18">
        <v>26099.54</v>
      </c>
      <c r="H465" s="18">
        <v>1207.49</v>
      </c>
      <c r="I465" s="18">
        <v>0</v>
      </c>
      <c r="J465" s="18">
        <v>611908.27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v>12320060.68</v>
      </c>
      <c r="G468" s="18">
        <v>304749.15999999997</v>
      </c>
      <c r="H468" s="18">
        <v>11498.26</v>
      </c>
      <c r="I468" s="18">
        <v>0</v>
      </c>
      <c r="J468" s="18">
        <v>51696.89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>
        <v>14871.85</v>
      </c>
      <c r="G469" s="18">
        <v>5383.66</v>
      </c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12334932.529999999</v>
      </c>
      <c r="G470" s="53">
        <f>SUM(G468:G469)</f>
        <v>310132.81999999995</v>
      </c>
      <c r="H470" s="53">
        <f>SUM(H468:H469)</f>
        <v>11498.26</v>
      </c>
      <c r="I470" s="53">
        <f>SUM(I468:I469)</f>
        <v>0</v>
      </c>
      <c r="J470" s="53">
        <f>SUM(J468:J469)</f>
        <v>51696.89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f>12204972.91+296.51</f>
        <v>12205269.42</v>
      </c>
      <c r="G472" s="18">
        <v>308296.14</v>
      </c>
      <c r="H472" s="18">
        <v>10116.26</v>
      </c>
      <c r="I472" s="18">
        <v>0</v>
      </c>
      <c r="J472" s="18">
        <v>0</v>
      </c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>
        <f>4393.29</f>
        <v>4393.29</v>
      </c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12209662.709999999</v>
      </c>
      <c r="G474" s="53">
        <f>SUM(G472:G473)</f>
        <v>308296.14</v>
      </c>
      <c r="H474" s="53">
        <f>SUM(H472:H473)</f>
        <v>10116.26</v>
      </c>
      <c r="I474" s="53">
        <f>SUM(I472:I473)</f>
        <v>0</v>
      </c>
      <c r="J474" s="53">
        <f>SUM(J472:J473)</f>
        <v>0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699496.08999999985</v>
      </c>
      <c r="G476" s="53">
        <f>(G465+G470)- G474</f>
        <v>27936.219999999914</v>
      </c>
      <c r="H476" s="53">
        <f>(H465+H470)- H474</f>
        <v>2589.4899999999998</v>
      </c>
      <c r="I476" s="53">
        <f>(I465+I470)- I474</f>
        <v>0</v>
      </c>
      <c r="J476" s="53">
        <f>(J465+J470)- J474</f>
        <v>663605.16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 t="s">
        <v>913</v>
      </c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/>
      <c r="G490" s="154"/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/>
      <c r="G491" s="155"/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/>
      <c r="G492" s="155"/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/>
      <c r="G493" s="18"/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/>
      <c r="G494" s="18"/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>
        <v>0</v>
      </c>
      <c r="G495" s="18"/>
      <c r="H495" s="18"/>
      <c r="I495" s="18"/>
      <c r="J495" s="18"/>
      <c r="K495" s="53">
        <f>SUM(F495:J495)</f>
        <v>0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>
        <v>1190985.3899999999</v>
      </c>
      <c r="G523" s="18">
        <v>546447.13</v>
      </c>
      <c r="H523" s="18">
        <v>181411.69</v>
      </c>
      <c r="I523" s="18">
        <v>11063.57</v>
      </c>
      <c r="J523" s="18">
        <v>1700.4</v>
      </c>
      <c r="K523" s="18">
        <v>13203.86</v>
      </c>
      <c r="L523" s="88">
        <f>SUM(F523:K523)</f>
        <v>1944812.04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1190985.3899999999</v>
      </c>
      <c r="G524" s="108">
        <f t="shared" ref="G524:L524" si="36">SUM(G521:G523)</f>
        <v>546447.13</v>
      </c>
      <c r="H524" s="108">
        <f t="shared" si="36"/>
        <v>181411.69</v>
      </c>
      <c r="I524" s="108">
        <f t="shared" si="36"/>
        <v>11063.57</v>
      </c>
      <c r="J524" s="108">
        <f t="shared" si="36"/>
        <v>1700.4</v>
      </c>
      <c r="K524" s="108">
        <f t="shared" si="36"/>
        <v>13203.86</v>
      </c>
      <c r="L524" s="89">
        <f t="shared" si="36"/>
        <v>1944812.04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>
        <v>130072</v>
      </c>
      <c r="G528" s="18">
        <v>60415.67</v>
      </c>
      <c r="H528" s="18">
        <v>31272.38</v>
      </c>
      <c r="I528" s="18">
        <v>0</v>
      </c>
      <c r="J528" s="18">
        <v>0</v>
      </c>
      <c r="K528" s="18">
        <v>0</v>
      </c>
      <c r="L528" s="88">
        <f>SUM(F528:K528)</f>
        <v>221760.05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130072</v>
      </c>
      <c r="G529" s="89">
        <f t="shared" ref="G529:L529" si="37">SUM(G526:G528)</f>
        <v>60415.67</v>
      </c>
      <c r="H529" s="89">
        <f t="shared" si="37"/>
        <v>31272.38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221760.05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>
        <v>32145.99</v>
      </c>
      <c r="G533" s="18">
        <v>12696.6</v>
      </c>
      <c r="H533" s="18"/>
      <c r="I533" s="18"/>
      <c r="J533" s="18"/>
      <c r="K533" s="18">
        <v>282.10000000000002</v>
      </c>
      <c r="L533" s="88">
        <f>SUM(F533:K533)</f>
        <v>45124.69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32145.99</v>
      </c>
      <c r="G534" s="89">
        <f t="shared" ref="G534:L534" si="38">SUM(G531:G533)</f>
        <v>12696.6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282.10000000000002</v>
      </c>
      <c r="L534" s="89">
        <f t="shared" si="38"/>
        <v>45124.69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>
        <v>18537.060000000001</v>
      </c>
      <c r="I538" s="18"/>
      <c r="J538" s="18"/>
      <c r="K538" s="18"/>
      <c r="L538" s="88">
        <f>SUM(F538:K538)</f>
        <v>18537.060000000001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18537.060000000001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18537.060000000001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>
        <v>177606.42</v>
      </c>
      <c r="I543" s="18"/>
      <c r="J543" s="18"/>
      <c r="K543" s="18"/>
      <c r="L543" s="88">
        <f>SUM(F543:K543)</f>
        <v>177606.42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177606.42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177606.42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1353203.38</v>
      </c>
      <c r="G545" s="89">
        <f t="shared" ref="G545:L545" si="41">G524+G529+G534+G539+G544</f>
        <v>619559.4</v>
      </c>
      <c r="H545" s="89">
        <f t="shared" si="41"/>
        <v>408827.55000000005</v>
      </c>
      <c r="I545" s="89">
        <f t="shared" si="41"/>
        <v>11063.57</v>
      </c>
      <c r="J545" s="89">
        <f t="shared" si="41"/>
        <v>1700.4</v>
      </c>
      <c r="K545" s="89">
        <f t="shared" si="41"/>
        <v>13485.960000000001</v>
      </c>
      <c r="L545" s="89">
        <f t="shared" si="41"/>
        <v>2407840.2599999998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1944812.04</v>
      </c>
      <c r="G551" s="87">
        <f>L528</f>
        <v>221760.05</v>
      </c>
      <c r="H551" s="87">
        <f>L533</f>
        <v>45124.69</v>
      </c>
      <c r="I551" s="87">
        <f>L538</f>
        <v>18537.060000000001</v>
      </c>
      <c r="J551" s="87">
        <f>L543</f>
        <v>177606.42</v>
      </c>
      <c r="K551" s="87">
        <f>SUM(F551:J551)</f>
        <v>2407840.2599999998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1944812.04</v>
      </c>
      <c r="G552" s="89">
        <f t="shared" si="42"/>
        <v>221760.05</v>
      </c>
      <c r="H552" s="89">
        <f t="shared" si="42"/>
        <v>45124.69</v>
      </c>
      <c r="I552" s="89">
        <f t="shared" si="42"/>
        <v>18537.060000000001</v>
      </c>
      <c r="J552" s="89">
        <f t="shared" si="42"/>
        <v>177606.42</v>
      </c>
      <c r="K552" s="89">
        <f t="shared" si="42"/>
        <v>2407840.2599999998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>
        <v>0</v>
      </c>
      <c r="G564" s="18">
        <v>0</v>
      </c>
      <c r="H564" s="18">
        <v>0</v>
      </c>
      <c r="I564" s="18">
        <v>0</v>
      </c>
      <c r="J564" s="18">
        <v>0</v>
      </c>
      <c r="K564" s="18">
        <v>0</v>
      </c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/>
      <c r="H575" s="18">
        <v>0</v>
      </c>
      <c r="I575" s="87">
        <f>SUM(F575:H575)</f>
        <v>0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>
        <v>0</v>
      </c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>
        <v>0</v>
      </c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/>
      <c r="G579" s="18"/>
      <c r="H579" s="18">
        <v>0</v>
      </c>
      <c r="I579" s="87">
        <f t="shared" si="47"/>
        <v>0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>
        <v>0</v>
      </c>
      <c r="I580" s="87">
        <f t="shared" si="47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/>
      <c r="G582" s="18"/>
      <c r="H582" s="18">
        <v>117950.11</v>
      </c>
      <c r="I582" s="87">
        <f t="shared" si="47"/>
        <v>117950.11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>
        <v>0</v>
      </c>
      <c r="I583" s="87">
        <f t="shared" si="47"/>
        <v>0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>
        <v>66943.41</v>
      </c>
      <c r="I584" s="87">
        <f t="shared" si="47"/>
        <v>66943.41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>
        <v>0</v>
      </c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>
        <v>0</v>
      </c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/>
      <c r="I591" s="18"/>
      <c r="J591" s="18">
        <v>176024</v>
      </c>
      <c r="K591" s="104">
        <f t="shared" ref="K591:K597" si="48">SUM(H591:J591)</f>
        <v>176024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/>
      <c r="I592" s="18"/>
      <c r="J592" s="18">
        <v>177606.42</v>
      </c>
      <c r="K592" s="104">
        <f t="shared" si="48"/>
        <v>177606.42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>
        <v>39025.15</v>
      </c>
      <c r="K593" s="104">
        <f t="shared" si="48"/>
        <v>39025.15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/>
      <c r="I594" s="18"/>
      <c r="J594" s="18">
        <v>66925.77</v>
      </c>
      <c r="K594" s="104">
        <f t="shared" si="48"/>
        <v>66925.77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/>
      <c r="I595" s="18"/>
      <c r="J595" s="18">
        <v>23553.75</v>
      </c>
      <c r="K595" s="104">
        <f t="shared" si="48"/>
        <v>23553.75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>
        <v>0</v>
      </c>
      <c r="K596" s="104">
        <f t="shared" si="48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/>
      <c r="J597" s="18">
        <v>483.94</v>
      </c>
      <c r="K597" s="104">
        <f t="shared" si="48"/>
        <v>483.94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0</v>
      </c>
      <c r="I598" s="108">
        <f>SUM(I591:I597)</f>
        <v>0</v>
      </c>
      <c r="J598" s="108">
        <f>SUM(J591:J597)</f>
        <v>483619.03000000009</v>
      </c>
      <c r="K598" s="108">
        <f>SUM(K591:K597)</f>
        <v>483619.03000000009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>
        <v>0</v>
      </c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>
        <v>0</v>
      </c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/>
      <c r="I604" s="18"/>
      <c r="J604" s="18">
        <v>204889.08</v>
      </c>
      <c r="K604" s="104">
        <f>SUM(H604:J604)</f>
        <v>204889.08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0</v>
      </c>
      <c r="I605" s="108">
        <f>SUM(I602:I604)</f>
        <v>0</v>
      </c>
      <c r="J605" s="108">
        <f>SUM(J602:J604)</f>
        <v>204889.08</v>
      </c>
      <c r="K605" s="108">
        <f>SUM(K602:K604)</f>
        <v>204889.08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>
        <v>38743.35</v>
      </c>
      <c r="G613" s="18">
        <v>5689.41</v>
      </c>
      <c r="H613" s="18">
        <v>0</v>
      </c>
      <c r="I613" s="18">
        <v>60.97</v>
      </c>
      <c r="J613" s="18">
        <v>0</v>
      </c>
      <c r="K613" s="18">
        <v>0</v>
      </c>
      <c r="L613" s="88">
        <f>SUM(F613:K613)</f>
        <v>44493.729999999996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38743.35</v>
      </c>
      <c r="G614" s="108">
        <f t="shared" si="49"/>
        <v>5689.41</v>
      </c>
      <c r="H614" s="108">
        <f t="shared" si="49"/>
        <v>0</v>
      </c>
      <c r="I614" s="108">
        <f t="shared" si="49"/>
        <v>60.97</v>
      </c>
      <c r="J614" s="108">
        <f t="shared" si="49"/>
        <v>0</v>
      </c>
      <c r="K614" s="108">
        <f t="shared" si="49"/>
        <v>0</v>
      </c>
      <c r="L614" s="89">
        <f t="shared" si="49"/>
        <v>44493.729999999996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844702.57000000007</v>
      </c>
      <c r="H617" s="109">
        <f>SUM(F52)</f>
        <v>844702.57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34575.1</v>
      </c>
      <c r="H618" s="109">
        <f>SUM(G52)</f>
        <v>34575.1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1207.4900000000002</v>
      </c>
      <c r="H619" s="109">
        <f>SUM(H52)</f>
        <v>1207.4899999999998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663605.16</v>
      </c>
      <c r="H621" s="109">
        <f>SUM(J52)</f>
        <v>663605.16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699496.09</v>
      </c>
      <c r="H622" s="109">
        <f>F476</f>
        <v>699496.08999999985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27936.22</v>
      </c>
      <c r="H623" s="109">
        <f>G476</f>
        <v>27936.219999999914</v>
      </c>
      <c r="I623" s="121" t="s">
        <v>102</v>
      </c>
      <c r="J623" s="109">
        <f t="shared" si="50"/>
        <v>8.7311491370201111E-11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2589.4899999999998</v>
      </c>
      <c r="H624" s="109">
        <f>H476</f>
        <v>2589.4899999999998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663605.16</v>
      </c>
      <c r="H626" s="109">
        <f>J476</f>
        <v>663605.16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12320060.68</v>
      </c>
      <c r="H627" s="104">
        <f>SUM(F468)</f>
        <v>12320060.68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304749.16000000003</v>
      </c>
      <c r="H628" s="104">
        <f>SUM(G468)</f>
        <v>304749.15999999997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11498.26</v>
      </c>
      <c r="H629" s="104">
        <f>SUM(H468)</f>
        <v>11498.26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51696.89</v>
      </c>
      <c r="H631" s="104">
        <f>SUM(J468)</f>
        <v>51696.89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12205269.42</v>
      </c>
      <c r="H632" s="104">
        <f>SUM(F472)</f>
        <v>12205269.42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10116.26</v>
      </c>
      <c r="H633" s="104">
        <f>SUM(H472)</f>
        <v>10116.26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166927.16</v>
      </c>
      <c r="H634" s="104">
        <f>I369</f>
        <v>166927.16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308296.13999999996</v>
      </c>
      <c r="H635" s="104">
        <f>SUM(G472)</f>
        <v>308296.14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51696.89</v>
      </c>
      <c r="H637" s="164">
        <f>SUM(J468)</f>
        <v>51696.89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663605.16</v>
      </c>
      <c r="H640" s="104">
        <f>SUM(G461)</f>
        <v>663605.16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663605.16</v>
      </c>
      <c r="H642" s="104">
        <f>SUM(I461)</f>
        <v>663605.16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1696.89</v>
      </c>
      <c r="H644" s="104">
        <f>H408</f>
        <v>1696.8899999999999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50000</v>
      </c>
      <c r="H645" s="104">
        <f>G408</f>
        <v>50000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51696.89</v>
      </c>
      <c r="H646" s="104">
        <f>L408</f>
        <v>51696.89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483619.03000000009</v>
      </c>
      <c r="H647" s="104">
        <f>L208+L226+L244</f>
        <v>483619.03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204889.08</v>
      </c>
      <c r="H648" s="104">
        <f>(J257+J338)-(J255+J336)</f>
        <v>204889.08000000002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0</v>
      </c>
      <c r="H649" s="104">
        <f>H598</f>
        <v>0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0</v>
      </c>
      <c r="H650" s="104">
        <f>I598</f>
        <v>0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483619.03</v>
      </c>
      <c r="H651" s="104">
        <f>J598</f>
        <v>483619.03000000009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0</v>
      </c>
      <c r="H652" s="104">
        <f>K263+K345</f>
        <v>0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50000</v>
      </c>
      <c r="H655" s="104">
        <f>K266+K347</f>
        <v>50000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0</v>
      </c>
      <c r="G660" s="19">
        <f>(L229+L309+L359)</f>
        <v>0</v>
      </c>
      <c r="H660" s="19">
        <f>(L247+L328+L360)</f>
        <v>12473681.82</v>
      </c>
      <c r="I660" s="19">
        <f>SUM(F660:H660)</f>
        <v>12473681.82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0</v>
      </c>
      <c r="G661" s="19">
        <f>(L359/IF(SUM(L358:L360)=0,1,SUM(L358:L360))*(SUM(G97:G110)))</f>
        <v>0</v>
      </c>
      <c r="H661" s="19">
        <f>(L360/IF(SUM(L358:L360)=0,1,SUM(L358:L360))*(SUM(G97:G110)))</f>
        <v>229493.75</v>
      </c>
      <c r="I661" s="19">
        <f>SUM(F661:H661)</f>
        <v>229493.75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0</v>
      </c>
      <c r="G662" s="19">
        <f>(L226+L306)-(J226+J306)</f>
        <v>0</v>
      </c>
      <c r="H662" s="19">
        <f>(L244+L325)-(J244+J325)</f>
        <v>483619.03</v>
      </c>
      <c r="I662" s="19">
        <f>SUM(F662:H662)</f>
        <v>483619.03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0</v>
      </c>
      <c r="G663" s="199">
        <f>SUM(G575:G587)+SUM(I602:I604)+L612</f>
        <v>0</v>
      </c>
      <c r="H663" s="199">
        <f>SUM(H575:H587)+SUM(J602:J604)+L613</f>
        <v>434276.32999999996</v>
      </c>
      <c r="I663" s="19">
        <f>SUM(F663:H663)</f>
        <v>434276.32999999996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0</v>
      </c>
      <c r="G664" s="19">
        <f>G660-SUM(G661:G663)</f>
        <v>0</v>
      </c>
      <c r="H664" s="19">
        <f>H660-SUM(H661:H663)</f>
        <v>11326292.710000001</v>
      </c>
      <c r="I664" s="19">
        <f>I660-SUM(I661:I663)</f>
        <v>11326292.710000001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/>
      <c r="G665" s="248"/>
      <c r="H665" s="248">
        <v>661.98</v>
      </c>
      <c r="I665" s="19">
        <f>SUM(F665:H665)</f>
        <v>661.98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 t="e">
        <f>ROUND(F664/F665,2)</f>
        <v>#DIV/0!</v>
      </c>
      <c r="G667" s="19" t="e">
        <f>ROUND(G664/G665,2)</f>
        <v>#DIV/0!</v>
      </c>
      <c r="H667" s="19">
        <f>ROUND(H664/H665,2)</f>
        <v>17109.72</v>
      </c>
      <c r="I667" s="19">
        <f>ROUND(I664/I665,2)</f>
        <v>17109.72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-10.33</v>
      </c>
      <c r="I670" s="19">
        <f>SUM(F670:H670)</f>
        <v>-10.33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 t="e">
        <f>ROUND((F664+F669)/(F665+F670),2)</f>
        <v>#DIV/0!</v>
      </c>
      <c r="G672" s="19" t="e">
        <f>ROUND((G664+G669)/(G665+G670),2)</f>
        <v>#DIV/0!</v>
      </c>
      <c r="H672" s="19">
        <f>ROUND((H664+H669)/(H665+H670),2)</f>
        <v>17380.939999999999</v>
      </c>
      <c r="I672" s="19">
        <f>ROUND((I664+I669)/(I665+I670),2)</f>
        <v>17380.939999999999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headings="1" gridLines="1" gridLinesSet="0"/>
  <pageMargins left="0.3" right="0.3" top="0.75" bottom="0.5" header="0.5" footer="0.5"/>
  <pageSetup scale="8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4" sqref="B4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JOHN STARK SCHOOL DISTRICT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3337708.14</v>
      </c>
      <c r="C9" s="229">
        <f>'DOE25'!G197+'DOE25'!G215+'DOE25'!G233+'DOE25'!G276+'DOE25'!G295+'DOE25'!G314</f>
        <v>1634355.83</v>
      </c>
    </row>
    <row r="10" spans="1:3" x14ac:dyDescent="0.2">
      <c r="A10" t="s">
        <v>778</v>
      </c>
      <c r="B10" s="240">
        <v>3254084.16</v>
      </c>
      <c r="C10" s="240">
        <v>1618131.95</v>
      </c>
    </row>
    <row r="11" spans="1:3" x14ac:dyDescent="0.2">
      <c r="A11" t="s">
        <v>779</v>
      </c>
      <c r="B11" s="240">
        <v>30139.13</v>
      </c>
      <c r="C11" s="240">
        <v>12132.12</v>
      </c>
    </row>
    <row r="12" spans="1:3" x14ac:dyDescent="0.2">
      <c r="A12" t="s">
        <v>780</v>
      </c>
      <c r="B12" s="240">
        <v>53484.85</v>
      </c>
      <c r="C12" s="240">
        <v>4091.76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3337708.14</v>
      </c>
      <c r="C13" s="231">
        <f>SUM(C10:C12)</f>
        <v>1634355.83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1190985.3899999999</v>
      </c>
      <c r="C18" s="229">
        <f>'DOE25'!G198+'DOE25'!G216+'DOE25'!G234+'DOE25'!G277+'DOE25'!G296+'DOE25'!G315</f>
        <v>546447.13</v>
      </c>
    </row>
    <row r="19" spans="1:3" x14ac:dyDescent="0.2">
      <c r="A19" t="s">
        <v>778</v>
      </c>
      <c r="B19" s="240">
        <v>819228.22</v>
      </c>
      <c r="C19" s="240">
        <v>464691.84</v>
      </c>
    </row>
    <row r="20" spans="1:3" x14ac:dyDescent="0.2">
      <c r="A20" t="s">
        <v>779</v>
      </c>
      <c r="B20" s="240">
        <v>348636.93</v>
      </c>
      <c r="C20" s="240">
        <v>74297.679999999993</v>
      </c>
    </row>
    <row r="21" spans="1:3" x14ac:dyDescent="0.2">
      <c r="A21" t="s">
        <v>780</v>
      </c>
      <c r="B21" s="240">
        <v>23120.240000000002</v>
      </c>
      <c r="C21" s="240">
        <v>7457.61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1190985.3899999999</v>
      </c>
      <c r="C22" s="231">
        <f>SUM(C19:C21)</f>
        <v>546447.13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/>
      <c r="C28" s="240"/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299887.55</v>
      </c>
      <c r="C36" s="235">
        <f>'DOE25'!G200+'DOE25'!G218+'DOE25'!G236+'DOE25'!G279+'DOE25'!G298+'DOE25'!G317</f>
        <v>72845.509999999995</v>
      </c>
    </row>
    <row r="37" spans="1:3" x14ac:dyDescent="0.2">
      <c r="A37" t="s">
        <v>778</v>
      </c>
      <c r="B37" s="240">
        <v>204852.07</v>
      </c>
      <c r="C37" s="240">
        <v>69727.28</v>
      </c>
    </row>
    <row r="38" spans="1:3" x14ac:dyDescent="0.2">
      <c r="A38" t="s">
        <v>779</v>
      </c>
      <c r="B38" s="240"/>
      <c r="C38" s="240"/>
    </row>
    <row r="39" spans="1:3" x14ac:dyDescent="0.2">
      <c r="A39" t="s">
        <v>780</v>
      </c>
      <c r="B39" s="240">
        <v>95035.48</v>
      </c>
      <c r="C39" s="240">
        <v>3118.23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299887.55</v>
      </c>
      <c r="C40" s="231">
        <f>SUM(C37:C39)</f>
        <v>72845.509999999995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JOHN STARK SCHOOL DISTRICT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7860674.0100000007</v>
      </c>
      <c r="D5" s="20">
        <f>SUM('DOE25'!L197:L200)+SUM('DOE25'!L215:L218)+SUM('DOE25'!L233:L236)-F5-G5</f>
        <v>7737444.3500000006</v>
      </c>
      <c r="E5" s="243"/>
      <c r="F5" s="255">
        <f>SUM('DOE25'!J197:J200)+SUM('DOE25'!J215:J218)+SUM('DOE25'!J233:J236)</f>
        <v>55793.97</v>
      </c>
      <c r="G5" s="53">
        <f>SUM('DOE25'!K197:K200)+SUM('DOE25'!K215:K218)+SUM('DOE25'!K233:K236)</f>
        <v>67435.69</v>
      </c>
      <c r="H5" s="259"/>
    </row>
    <row r="6" spans="1:9" x14ac:dyDescent="0.2">
      <c r="A6" s="32">
        <v>2100</v>
      </c>
      <c r="B6" t="s">
        <v>800</v>
      </c>
      <c r="C6" s="245">
        <f t="shared" si="0"/>
        <v>958124.82</v>
      </c>
      <c r="D6" s="20">
        <f>'DOE25'!L202+'DOE25'!L220+'DOE25'!L238-F6-G6</f>
        <v>958124.82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833</v>
      </c>
      <c r="C7" s="245">
        <f t="shared" si="0"/>
        <v>590614.14999999991</v>
      </c>
      <c r="D7" s="20">
        <f>'DOE25'!L203+'DOE25'!L221+'DOE25'!L239-F7-G7</f>
        <v>383806.66999999993</v>
      </c>
      <c r="E7" s="243"/>
      <c r="F7" s="255">
        <f>'DOE25'!J203+'DOE25'!J221+'DOE25'!J239</f>
        <v>127710.54</v>
      </c>
      <c r="G7" s="53">
        <f>'DOE25'!K203+'DOE25'!K221+'DOE25'!K239</f>
        <v>79096.94</v>
      </c>
      <c r="H7" s="259"/>
    </row>
    <row r="8" spans="1:9" x14ac:dyDescent="0.2">
      <c r="A8" s="32">
        <v>2300</v>
      </c>
      <c r="B8" t="s">
        <v>801</v>
      </c>
      <c r="C8" s="245">
        <f t="shared" si="0"/>
        <v>275495.2</v>
      </c>
      <c r="D8" s="243"/>
      <c r="E8" s="20">
        <f>'DOE25'!L204+'DOE25'!L222+'DOE25'!L240-F8-G8-D9-D11</f>
        <v>268676.19</v>
      </c>
      <c r="F8" s="255">
        <f>'DOE25'!J204+'DOE25'!J222+'DOE25'!J240</f>
        <v>0</v>
      </c>
      <c r="G8" s="53">
        <f>'DOE25'!K204+'DOE25'!K222+'DOE25'!K240</f>
        <v>6819.01</v>
      </c>
      <c r="H8" s="259"/>
    </row>
    <row r="9" spans="1:9" x14ac:dyDescent="0.2">
      <c r="A9" s="32">
        <v>2310</v>
      </c>
      <c r="B9" t="s">
        <v>817</v>
      </c>
      <c r="C9" s="245">
        <f t="shared" si="0"/>
        <v>94405.3</v>
      </c>
      <c r="D9" s="244">
        <v>94405.3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8370</v>
      </c>
      <c r="D10" s="243"/>
      <c r="E10" s="244">
        <v>8370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129405.94</v>
      </c>
      <c r="D11" s="244">
        <v>129405.94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740274.17000000016</v>
      </c>
      <c r="D12" s="20">
        <f>'DOE25'!L205+'DOE25'!L223+'DOE25'!L241-F12-G12</f>
        <v>715465.79000000015</v>
      </c>
      <c r="E12" s="243"/>
      <c r="F12" s="255">
        <f>'DOE25'!J205+'DOE25'!J223+'DOE25'!J241</f>
        <v>0</v>
      </c>
      <c r="G12" s="53">
        <f>'DOE25'!K205+'DOE25'!K223+'DOE25'!K241</f>
        <v>24808.38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1022656.7999999999</v>
      </c>
      <c r="D14" s="20">
        <f>'DOE25'!L207+'DOE25'!L225+'DOE25'!L243-F14-G14</f>
        <v>1001272.23</v>
      </c>
      <c r="E14" s="243"/>
      <c r="F14" s="255">
        <f>'DOE25'!J207+'DOE25'!J225+'DOE25'!J243</f>
        <v>21384.57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483619.03</v>
      </c>
      <c r="D15" s="20">
        <f>'DOE25'!L208+'DOE25'!L226+'DOE25'!L244-F15-G15</f>
        <v>483619.03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167349.19999999995</v>
      </c>
      <c r="D29" s="20">
        <f>'DOE25'!L358+'DOE25'!L359+'DOE25'!L360-'DOE25'!I367-F29-G29</f>
        <v>165025.14999999994</v>
      </c>
      <c r="E29" s="243"/>
      <c r="F29" s="255">
        <f>'DOE25'!J358+'DOE25'!J359+'DOE25'!J360</f>
        <v>839.85</v>
      </c>
      <c r="G29" s="53">
        <f>'DOE25'!K358+'DOE25'!K359+'DOE25'!K360</f>
        <v>1484.2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10116.26</v>
      </c>
      <c r="D31" s="20">
        <f>'DOE25'!L290+'DOE25'!L309+'DOE25'!L328+'DOE25'!L333+'DOE25'!L334+'DOE25'!L335-F31-G31</f>
        <v>9926.18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190.08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11678495.460000001</v>
      </c>
      <c r="E33" s="246">
        <f>SUM(E5:E31)</f>
        <v>277046.19</v>
      </c>
      <c r="F33" s="246">
        <f>SUM(F5:F31)</f>
        <v>205728.93000000002</v>
      </c>
      <c r="G33" s="246">
        <f>SUM(G5:G31)</f>
        <v>179834.30000000002</v>
      </c>
      <c r="H33" s="246">
        <f>SUM(H5:H31)</f>
        <v>0</v>
      </c>
    </row>
    <row r="35" spans="2:8" ht="12" thickBot="1" x14ac:dyDescent="0.25">
      <c r="B35" s="253" t="s">
        <v>846</v>
      </c>
      <c r="D35" s="254">
        <f>E33</f>
        <v>277046.19</v>
      </c>
      <c r="E35" s="249"/>
    </row>
    <row r="36" spans="2:8" ht="12" thickTop="1" x14ac:dyDescent="0.2">
      <c r="B36" t="s">
        <v>814</v>
      </c>
      <c r="D36" s="20">
        <f>D33</f>
        <v>11678495.460000001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A80" sqref="A8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JOHN STARK SCHOOL DISTRICT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834804.39</v>
      </c>
      <c r="D8" s="95">
        <f>'DOE25'!G9</f>
        <v>27859.64</v>
      </c>
      <c r="E8" s="95">
        <f>'DOE25'!H9</f>
        <v>-2800.04</v>
      </c>
      <c r="F8" s="95">
        <f>'DOE25'!I9</f>
        <v>0</v>
      </c>
      <c r="G8" s="95">
        <f>'DOE25'!J9</f>
        <v>663605.16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839.68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8747.92</v>
      </c>
      <c r="D12" s="95">
        <f>'DOE25'!G13</f>
        <v>5875.78</v>
      </c>
      <c r="E12" s="95">
        <f>'DOE25'!H13</f>
        <v>4007.53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1150.26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844702.57000000007</v>
      </c>
      <c r="D18" s="41">
        <f>SUM(D8:D17)</f>
        <v>34575.1</v>
      </c>
      <c r="E18" s="41">
        <f>SUM(E8:E17)</f>
        <v>1207.4900000000002</v>
      </c>
      <c r="F18" s="41">
        <f>SUM(F8:F17)</f>
        <v>0</v>
      </c>
      <c r="G18" s="41">
        <f>SUM(G8:G17)</f>
        <v>663605.16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34126.769999999997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41472.019999999997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34420.22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35187.47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6638.88</v>
      </c>
      <c r="E29" s="95">
        <f>'DOE25'!H30</f>
        <v>-1382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145206.47999999998</v>
      </c>
      <c r="D31" s="41">
        <f>SUM(D21:D30)</f>
        <v>6638.88</v>
      </c>
      <c r="E31" s="41">
        <f>SUM(E21:E30)</f>
        <v>-1382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27936.22</v>
      </c>
      <c r="E47" s="95">
        <f>'DOE25'!H48</f>
        <v>2589.4899999999998</v>
      </c>
      <c r="F47" s="95">
        <f>'DOE25'!I48</f>
        <v>0</v>
      </c>
      <c r="G47" s="95">
        <f>'DOE25'!J48</f>
        <v>663605.16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699496.09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699496.09</v>
      </c>
      <c r="D50" s="41">
        <f>SUM(D34:D49)</f>
        <v>27936.22</v>
      </c>
      <c r="E50" s="41">
        <f>SUM(E34:E49)</f>
        <v>2589.4899999999998</v>
      </c>
      <c r="F50" s="41">
        <f>SUM(F34:F49)</f>
        <v>0</v>
      </c>
      <c r="G50" s="41">
        <f>SUM(G34:G49)</f>
        <v>663605.16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844702.57</v>
      </c>
      <c r="D51" s="41">
        <f>D50+D31</f>
        <v>34575.1</v>
      </c>
      <c r="E51" s="41">
        <f>E50+E31</f>
        <v>1207.4899999999998</v>
      </c>
      <c r="F51" s="41">
        <f>F50+F31</f>
        <v>0</v>
      </c>
      <c r="G51" s="41">
        <f>G50+G31</f>
        <v>663605.16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7818139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14785.79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1696.89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229493.75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35681.620000000003</v>
      </c>
      <c r="D61" s="95">
        <f>SUM('DOE25'!G98:G110)</f>
        <v>0</v>
      </c>
      <c r="E61" s="95">
        <f>SUM('DOE25'!H98:H110)</f>
        <v>2998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50467.41</v>
      </c>
      <c r="D62" s="130">
        <f>SUM(D57:D61)</f>
        <v>229493.75</v>
      </c>
      <c r="E62" s="130">
        <f>SUM(E57:E61)</f>
        <v>2998</v>
      </c>
      <c r="F62" s="130">
        <f>SUM(F57:F61)</f>
        <v>0</v>
      </c>
      <c r="G62" s="130">
        <f>SUM(G57:G61)</f>
        <v>1696.89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7868606.4100000001</v>
      </c>
      <c r="D63" s="22">
        <f>D56+D62</f>
        <v>229493.75</v>
      </c>
      <c r="E63" s="22">
        <f>E56+E62</f>
        <v>2998</v>
      </c>
      <c r="F63" s="22">
        <f>F56+F62</f>
        <v>0</v>
      </c>
      <c r="G63" s="22">
        <f>G56+G62</f>
        <v>1696.89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3311030.01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935656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4246686.01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83185.16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17560.5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4165.1400000000003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100745.66</v>
      </c>
      <c r="D78" s="130">
        <f>SUM(D72:D77)</f>
        <v>4165.1400000000003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4347431.67</v>
      </c>
      <c r="D81" s="130">
        <f>SUM(D79:D80)+D78+D70</f>
        <v>4165.1400000000003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104022.6</v>
      </c>
      <c r="D88" s="95">
        <f>SUM('DOE25'!G153:G161)</f>
        <v>71090.27</v>
      </c>
      <c r="E88" s="95">
        <f>SUM('DOE25'!H153:H161)</f>
        <v>8500.26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104022.6</v>
      </c>
      <c r="D91" s="131">
        <f>SUM(D85:D90)</f>
        <v>71090.27</v>
      </c>
      <c r="E91" s="131">
        <f>SUM(E85:E90)</f>
        <v>8500.26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50000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50000</v>
      </c>
    </row>
    <row r="104" spans="1:7" ht="12.75" thickTop="1" thickBot="1" x14ac:dyDescent="0.25">
      <c r="A104" s="33" t="s">
        <v>764</v>
      </c>
      <c r="C104" s="86">
        <f>C63+C81+C91+C103</f>
        <v>12320060.68</v>
      </c>
      <c r="D104" s="86">
        <f>D63+D81+D91+D103</f>
        <v>304749.16000000003</v>
      </c>
      <c r="E104" s="86">
        <f>E63+E81+E91+E103</f>
        <v>11498.26</v>
      </c>
      <c r="F104" s="86">
        <f>F63+F81+F91+F103</f>
        <v>0</v>
      </c>
      <c r="G104" s="86">
        <f>G63+G81+G103</f>
        <v>51696.89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5317304.6300000008</v>
      </c>
      <c r="D109" s="24" t="s">
        <v>288</v>
      </c>
      <c r="E109" s="95">
        <f>('DOE25'!L276)+('DOE25'!L295)+('DOE25'!L314)</f>
        <v>1616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1944812.04</v>
      </c>
      <c r="D110" s="24" t="s">
        <v>288</v>
      </c>
      <c r="E110" s="95">
        <f>('DOE25'!L277)+('DOE25'!L296)+('DOE25'!L315)</f>
        <v>0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66943.41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531613.93000000005</v>
      </c>
      <c r="D112" s="24" t="s">
        <v>288</v>
      </c>
      <c r="E112" s="95">
        <f>+('DOE25'!L279)+('DOE25'!L298)+('DOE25'!L317)</f>
        <v>0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7860674.0100000007</v>
      </c>
      <c r="D115" s="86">
        <f>SUM(D109:D114)</f>
        <v>0</v>
      </c>
      <c r="E115" s="86">
        <f>SUM(E109:E114)</f>
        <v>1616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958124.82</v>
      </c>
      <c r="D118" s="24" t="s">
        <v>288</v>
      </c>
      <c r="E118" s="95">
        <f>+('DOE25'!L281)+('DOE25'!L300)+('DOE25'!L319)</f>
        <v>0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590614.14999999991</v>
      </c>
      <c r="D119" s="24" t="s">
        <v>288</v>
      </c>
      <c r="E119" s="95">
        <f>+('DOE25'!L282)+('DOE25'!L301)+('DOE25'!L320)</f>
        <v>8310.18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499306.44</v>
      </c>
      <c r="D120" s="24" t="s">
        <v>288</v>
      </c>
      <c r="E120" s="95">
        <f>+('DOE25'!L283)+('DOE25'!L302)+('DOE25'!L321)</f>
        <v>190.08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740274.17000000016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1022656.7999999999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483619.03</v>
      </c>
      <c r="D124" s="24" t="s">
        <v>288</v>
      </c>
      <c r="E124" s="95">
        <f>+('DOE25'!L287)+('DOE25'!L306)+('DOE25'!L325)</f>
        <v>0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308296.13999999996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4294595.41</v>
      </c>
      <c r="D128" s="86">
        <f>SUM(D118:D127)</f>
        <v>308296.13999999996</v>
      </c>
      <c r="E128" s="86">
        <f>SUM(E118:E127)</f>
        <v>8500.26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163.38999999999999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51533.5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-1696.8899999999994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50000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12205269.420000002</v>
      </c>
      <c r="D145" s="86">
        <f>(D115+D128+D144)</f>
        <v>308296.13999999996</v>
      </c>
      <c r="E145" s="86">
        <f>(E115+E128+E144)</f>
        <v>10116.26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JOHN STARK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0</v>
      </c>
    </row>
    <row r="5" spans="1:4" x14ac:dyDescent="0.2">
      <c r="B5" t="s">
        <v>703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17381</v>
      </c>
    </row>
    <row r="7" spans="1:4" x14ac:dyDescent="0.2">
      <c r="B7" t="s">
        <v>704</v>
      </c>
      <c r="C7" s="179">
        <f>IF('DOE25'!I665+'DOE25'!I670=0,0,ROUND('DOE25'!I672,0))</f>
        <v>17381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5318921</v>
      </c>
      <c r="D10" s="182">
        <f>ROUND((C10/$C$28)*100,1)</f>
        <v>43.4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1944812</v>
      </c>
      <c r="D11" s="182">
        <f>ROUND((C11/$C$28)*100,1)</f>
        <v>15.9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66943</v>
      </c>
      <c r="D12" s="182">
        <f>ROUND((C12/$C$28)*100,1)</f>
        <v>0.5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531614</v>
      </c>
      <c r="D13" s="182">
        <f>ROUND((C13/$C$28)*100,1)</f>
        <v>4.3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958125</v>
      </c>
      <c r="D15" s="182">
        <f t="shared" ref="D15:D27" si="0">ROUND((C15/$C$28)*100,1)</f>
        <v>7.8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598924</v>
      </c>
      <c r="D16" s="182">
        <f t="shared" si="0"/>
        <v>4.9000000000000004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499497</v>
      </c>
      <c r="D17" s="182">
        <f t="shared" si="0"/>
        <v>4.0999999999999996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740274</v>
      </c>
      <c r="D18" s="182">
        <f t="shared" si="0"/>
        <v>6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1022657</v>
      </c>
      <c r="D20" s="182">
        <f t="shared" si="0"/>
        <v>8.4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483619</v>
      </c>
      <c r="D21" s="182">
        <f t="shared" si="0"/>
        <v>3.9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78802.25</v>
      </c>
      <c r="D27" s="182">
        <f t="shared" si="0"/>
        <v>0.6</v>
      </c>
    </row>
    <row r="28" spans="1:4" x14ac:dyDescent="0.2">
      <c r="B28" s="187" t="s">
        <v>722</v>
      </c>
      <c r="C28" s="180">
        <f>SUM(C10:C27)</f>
        <v>12244188.25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728</v>
      </c>
      <c r="C30" s="180">
        <f>SUM(C28:C29)</f>
        <v>12244188.25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7818139</v>
      </c>
      <c r="D35" s="182">
        <f t="shared" ref="D35:D40" si="1">ROUND((C35/$C$41)*100,1)</f>
        <v>63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55162.299999999814</v>
      </c>
      <c r="D36" s="182">
        <f t="shared" si="1"/>
        <v>0.4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4246686</v>
      </c>
      <c r="D37" s="182">
        <f t="shared" si="1"/>
        <v>34.200000000000003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104911</v>
      </c>
      <c r="D38" s="182">
        <f t="shared" si="1"/>
        <v>0.8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183613</v>
      </c>
      <c r="D39" s="182">
        <f t="shared" si="1"/>
        <v>1.5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12408511.300000001</v>
      </c>
      <c r="D41" s="184">
        <f>SUM(D35:D40)</f>
        <v>99.899999999999991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769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766</v>
      </c>
      <c r="B2" s="295"/>
      <c r="C2" s="295"/>
      <c r="D2" s="295"/>
      <c r="E2" s="295"/>
      <c r="F2" s="292" t="str">
        <f>'DOE25'!A2</f>
        <v>JOHN STARK SCHOOL DISTRICT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0" t="s">
        <v>770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847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A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2017-10-10T15:04:34Z</cp:lastPrinted>
  <dcterms:created xsi:type="dcterms:W3CDTF">1997-12-04T19:04:30Z</dcterms:created>
  <dcterms:modified xsi:type="dcterms:W3CDTF">2017-11-29T17:33:27Z</dcterms:modified>
</cp:coreProperties>
</file>