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13" i="1" l="1"/>
  <c r="I523" i="1" l="1"/>
  <c r="H523" i="1"/>
  <c r="G523" i="1"/>
  <c r="F523" i="1"/>
  <c r="G521" i="1" l="1"/>
  <c r="H521" i="1"/>
  <c r="I521" i="1"/>
  <c r="G522" i="1"/>
  <c r="H522" i="1"/>
  <c r="I522" i="1"/>
  <c r="K522" i="1"/>
  <c r="F522" i="1"/>
  <c r="F521" i="1"/>
  <c r="H543" i="1" l="1"/>
  <c r="H542" i="1"/>
  <c r="H541" i="1"/>
  <c r="J604" i="1"/>
  <c r="I604" i="1"/>
  <c r="H604" i="1"/>
  <c r="J110" i="1" l="1"/>
  <c r="H396" i="1"/>
  <c r="H397" i="1"/>
  <c r="G502" i="1"/>
  <c r="F502" i="1"/>
  <c r="F501" i="1"/>
  <c r="G498" i="1"/>
  <c r="F498" i="1"/>
  <c r="I472" i="1"/>
  <c r="I465" i="1" s="1"/>
  <c r="H472" i="1"/>
  <c r="G472" i="1"/>
  <c r="F472" i="1"/>
  <c r="G468" i="1"/>
  <c r="H468" i="1"/>
  <c r="I468" i="1"/>
  <c r="F468" i="1"/>
  <c r="F459" i="1"/>
  <c r="G12" i="1"/>
  <c r="H22" i="1"/>
  <c r="H12" i="1"/>
  <c r="I48" i="1"/>
  <c r="I9" i="1"/>
  <c r="H30" i="1"/>
  <c r="H24" i="1"/>
  <c r="F12" i="1"/>
  <c r="F28" i="1"/>
  <c r="F29" i="1"/>
  <c r="H465" i="1" l="1"/>
  <c r="G465" i="1"/>
  <c r="G97" i="1"/>
  <c r="C45" i="2" l="1"/>
  <c r="G51" i="1"/>
  <c r="F51" i="1"/>
  <c r="F465" i="1" s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C12" i="10" s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C114" i="2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309" i="1" s="1"/>
  <c r="L296" i="1"/>
  <c r="E110" i="2" s="1"/>
  <c r="L297" i="1"/>
  <c r="L298" i="1"/>
  <c r="L300" i="1"/>
  <c r="L301" i="1"/>
  <c r="L302" i="1"/>
  <c r="L303" i="1"/>
  <c r="L304" i="1"/>
  <c r="L305" i="1"/>
  <c r="E123" i="2" s="1"/>
  <c r="L306" i="1"/>
  <c r="L307" i="1"/>
  <c r="L314" i="1"/>
  <c r="L315" i="1"/>
  <c r="L316" i="1"/>
  <c r="L317" i="1"/>
  <c r="L319" i="1"/>
  <c r="E118" i="2" s="1"/>
  <c r="L320" i="1"/>
  <c r="E119" i="2" s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132" i="2" s="1"/>
  <c r="L341" i="1"/>
  <c r="L342" i="1"/>
  <c r="E132" i="2" s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F169" i="1" s="1"/>
  <c r="G147" i="1"/>
  <c r="D85" i="2" s="1"/>
  <c r="D91" i="2" s="1"/>
  <c r="G162" i="1"/>
  <c r="H147" i="1"/>
  <c r="H162" i="1"/>
  <c r="H169" i="1" s="1"/>
  <c r="I147" i="1"/>
  <c r="I162" i="1"/>
  <c r="I169" i="1" s="1"/>
  <c r="L250" i="1"/>
  <c r="L332" i="1"/>
  <c r="L254" i="1"/>
  <c r="C25" i="10"/>
  <c r="L268" i="1"/>
  <c r="L269" i="1"/>
  <c r="L349" i="1"/>
  <c r="L350" i="1"/>
  <c r="I665" i="1"/>
  <c r="I670" i="1"/>
  <c r="G662" i="1"/>
  <c r="I669" i="1"/>
  <c r="C42" i="10"/>
  <c r="L374" i="1"/>
  <c r="F130" i="2" s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L270" i="1" s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C78" i="2" s="1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D115" i="2"/>
  <c r="F115" i="2"/>
  <c r="G115" i="2"/>
  <c r="E120" i="2"/>
  <c r="E121" i="2"/>
  <c r="C122" i="2"/>
  <c r="E124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H461" i="1" s="1"/>
  <c r="H641" i="1" s="1"/>
  <c r="F460" i="1"/>
  <c r="G460" i="1"/>
  <c r="H460" i="1"/>
  <c r="F461" i="1"/>
  <c r="H639" i="1" s="1"/>
  <c r="G461" i="1"/>
  <c r="H640" i="1" s="1"/>
  <c r="F470" i="1"/>
  <c r="G470" i="1"/>
  <c r="H470" i="1"/>
  <c r="I470" i="1"/>
  <c r="I476" i="1" s="1"/>
  <c r="H625" i="1" s="1"/>
  <c r="F474" i="1"/>
  <c r="F476" i="1" s="1"/>
  <c r="H622" i="1" s="1"/>
  <c r="G474" i="1"/>
  <c r="H474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G625" i="1"/>
  <c r="H627" i="1"/>
  <c r="H628" i="1"/>
  <c r="H629" i="1"/>
  <c r="H630" i="1"/>
  <c r="H632" i="1"/>
  <c r="H633" i="1"/>
  <c r="H635" i="1"/>
  <c r="H636" i="1"/>
  <c r="G641" i="1"/>
  <c r="G643" i="1"/>
  <c r="H643" i="1"/>
  <c r="J643" i="1" s="1"/>
  <c r="G644" i="1"/>
  <c r="G645" i="1"/>
  <c r="G650" i="1"/>
  <c r="G652" i="1"/>
  <c r="H652" i="1"/>
  <c r="G653" i="1"/>
  <c r="H653" i="1"/>
  <c r="G654" i="1"/>
  <c r="H654" i="1"/>
  <c r="H655" i="1"/>
  <c r="C26" i="10"/>
  <c r="C70" i="2"/>
  <c r="D19" i="13"/>
  <c r="C19" i="13" s="1"/>
  <c r="J571" i="1"/>
  <c r="K571" i="1"/>
  <c r="H476" i="1"/>
  <c r="H624" i="1" s="1"/>
  <c r="J624" i="1" s="1"/>
  <c r="J140" i="1"/>
  <c r="I552" i="1"/>
  <c r="H140" i="1"/>
  <c r="L560" i="1"/>
  <c r="G192" i="1"/>
  <c r="I571" i="1"/>
  <c r="A40" i="12" l="1"/>
  <c r="H552" i="1"/>
  <c r="K545" i="1"/>
  <c r="K549" i="1"/>
  <c r="G545" i="1"/>
  <c r="G552" i="1"/>
  <c r="K551" i="1"/>
  <c r="L524" i="1"/>
  <c r="K550" i="1"/>
  <c r="J552" i="1"/>
  <c r="H545" i="1"/>
  <c r="K605" i="1"/>
  <c r="G648" i="1" s="1"/>
  <c r="F571" i="1"/>
  <c r="K598" i="1"/>
  <c r="G647" i="1" s="1"/>
  <c r="J622" i="1"/>
  <c r="I408" i="1"/>
  <c r="G62" i="2"/>
  <c r="G63" i="2" s="1"/>
  <c r="I369" i="1"/>
  <c r="H634" i="1" s="1"/>
  <c r="J634" i="1" s="1"/>
  <c r="L401" i="1"/>
  <c r="C139" i="2" s="1"/>
  <c r="J645" i="1"/>
  <c r="H408" i="1"/>
  <c r="H644" i="1" s="1"/>
  <c r="J644" i="1" s="1"/>
  <c r="L427" i="1"/>
  <c r="G164" i="2"/>
  <c r="G161" i="2"/>
  <c r="G157" i="2"/>
  <c r="G476" i="1"/>
  <c r="H623" i="1" s="1"/>
  <c r="J623" i="1" s="1"/>
  <c r="J639" i="1"/>
  <c r="J625" i="1"/>
  <c r="D18" i="2"/>
  <c r="J617" i="1"/>
  <c r="C18" i="2"/>
  <c r="J640" i="1"/>
  <c r="J641" i="1"/>
  <c r="D17" i="13"/>
  <c r="C17" i="13" s="1"/>
  <c r="H112" i="1"/>
  <c r="L544" i="1"/>
  <c r="J112" i="1"/>
  <c r="J193" i="1" s="1"/>
  <c r="F552" i="1"/>
  <c r="L614" i="1"/>
  <c r="I52" i="1"/>
  <c r="H620" i="1" s="1"/>
  <c r="J620" i="1" s="1"/>
  <c r="D12" i="13"/>
  <c r="C12" i="13" s="1"/>
  <c r="C11" i="10"/>
  <c r="L351" i="1"/>
  <c r="K500" i="1"/>
  <c r="I452" i="1"/>
  <c r="H52" i="1"/>
  <c r="H619" i="1" s="1"/>
  <c r="J619" i="1" s="1"/>
  <c r="E13" i="13"/>
  <c r="C13" i="13" s="1"/>
  <c r="C35" i="10"/>
  <c r="L529" i="1"/>
  <c r="C111" i="2"/>
  <c r="G81" i="2"/>
  <c r="G112" i="1"/>
  <c r="E112" i="2"/>
  <c r="J655" i="1"/>
  <c r="G649" i="1"/>
  <c r="J649" i="1" s="1"/>
  <c r="L534" i="1"/>
  <c r="I460" i="1"/>
  <c r="I446" i="1"/>
  <c r="G642" i="1" s="1"/>
  <c r="H662" i="1"/>
  <c r="E16" i="13"/>
  <c r="C16" i="13" s="1"/>
  <c r="L539" i="1"/>
  <c r="K503" i="1"/>
  <c r="L382" i="1"/>
  <c r="G636" i="1" s="1"/>
  <c r="J636" i="1" s="1"/>
  <c r="C112" i="2"/>
  <c r="C119" i="2"/>
  <c r="C32" i="10"/>
  <c r="H25" i="13"/>
  <c r="C25" i="13" s="1"/>
  <c r="D15" i="13"/>
  <c r="C15" i="13" s="1"/>
  <c r="G651" i="1"/>
  <c r="J651" i="1" s="1"/>
  <c r="C124" i="2"/>
  <c r="D62" i="2"/>
  <c r="D63" i="2" s="1"/>
  <c r="D29" i="13"/>
  <c r="C29" i="13" s="1"/>
  <c r="F112" i="1"/>
  <c r="K338" i="1"/>
  <c r="K352" i="1" s="1"/>
  <c r="L256" i="1"/>
  <c r="C118" i="2"/>
  <c r="F661" i="1"/>
  <c r="F338" i="1"/>
  <c r="F352" i="1" s="1"/>
  <c r="F192" i="1"/>
  <c r="D6" i="13"/>
  <c r="C6" i="13" s="1"/>
  <c r="C57" i="2"/>
  <c r="C62" i="2" s="1"/>
  <c r="C63" i="2" s="1"/>
  <c r="J257" i="1"/>
  <c r="J271" i="1" s="1"/>
  <c r="C20" i="10"/>
  <c r="L328" i="1"/>
  <c r="E109" i="2"/>
  <c r="J338" i="1"/>
  <c r="J352" i="1" s="1"/>
  <c r="C13" i="10"/>
  <c r="H338" i="1"/>
  <c r="H352" i="1" s="1"/>
  <c r="D14" i="13"/>
  <c r="C14" i="13" s="1"/>
  <c r="D127" i="2"/>
  <c r="D128" i="2" s="1"/>
  <c r="D145" i="2" s="1"/>
  <c r="C81" i="2"/>
  <c r="I662" i="1"/>
  <c r="H647" i="1"/>
  <c r="C21" i="10"/>
  <c r="H661" i="1"/>
  <c r="G661" i="1"/>
  <c r="C10" i="10"/>
  <c r="L290" i="1"/>
  <c r="E125" i="2"/>
  <c r="E128" i="2" s="1"/>
  <c r="D5" i="13"/>
  <c r="C5" i="13" s="1"/>
  <c r="L362" i="1"/>
  <c r="G635" i="1" s="1"/>
  <c r="J635" i="1" s="1"/>
  <c r="C121" i="2"/>
  <c r="C18" i="10"/>
  <c r="H257" i="1"/>
  <c r="H271" i="1" s="1"/>
  <c r="E8" i="13"/>
  <c r="C8" i="13" s="1"/>
  <c r="C16" i="10"/>
  <c r="D7" i="13"/>
  <c r="C7" i="13" s="1"/>
  <c r="F257" i="1"/>
  <c r="F271" i="1" s="1"/>
  <c r="G338" i="1"/>
  <c r="G352" i="1" s="1"/>
  <c r="C15" i="10"/>
  <c r="C120" i="2"/>
  <c r="I257" i="1"/>
  <c r="I271" i="1" s="1"/>
  <c r="A13" i="12"/>
  <c r="K257" i="1"/>
  <c r="K271" i="1" s="1"/>
  <c r="C110" i="2"/>
  <c r="L229" i="1"/>
  <c r="G660" i="1" s="1"/>
  <c r="L211" i="1"/>
  <c r="C109" i="2"/>
  <c r="C17" i="10"/>
  <c r="L247" i="1"/>
  <c r="G257" i="1"/>
  <c r="G271" i="1" s="1"/>
  <c r="C12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H193" i="1"/>
  <c r="G629" i="1" s="1"/>
  <c r="J629" i="1" s="1"/>
  <c r="G169" i="1"/>
  <c r="C39" i="10" s="1"/>
  <c r="G140" i="1"/>
  <c r="F140" i="1"/>
  <c r="J618" i="1"/>
  <c r="G42" i="2"/>
  <c r="J51" i="1"/>
  <c r="G16" i="2"/>
  <c r="G18" i="2" s="1"/>
  <c r="J19" i="1"/>
  <c r="G621" i="1" s="1"/>
  <c r="F545" i="1"/>
  <c r="H434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K552" i="1" l="1"/>
  <c r="L545" i="1"/>
  <c r="J647" i="1"/>
  <c r="G104" i="2"/>
  <c r="G646" i="1"/>
  <c r="J468" i="1"/>
  <c r="C141" i="2"/>
  <c r="C144" i="2" s="1"/>
  <c r="L408" i="1"/>
  <c r="G638" i="1"/>
  <c r="J472" i="1"/>
  <c r="C36" i="10"/>
  <c r="F104" i="2"/>
  <c r="I461" i="1"/>
  <c r="H642" i="1" s="1"/>
  <c r="J642" i="1" s="1"/>
  <c r="F51" i="2"/>
  <c r="E115" i="2"/>
  <c r="H33" i="13"/>
  <c r="D104" i="2"/>
  <c r="F193" i="1"/>
  <c r="G627" i="1" s="1"/>
  <c r="J627" i="1" s="1"/>
  <c r="C27" i="10"/>
  <c r="C28" i="10" s="1"/>
  <c r="D23" i="10" s="1"/>
  <c r="H660" i="1"/>
  <c r="H664" i="1" s="1"/>
  <c r="H667" i="1" s="1"/>
  <c r="L338" i="1"/>
  <c r="L352" i="1" s="1"/>
  <c r="G633" i="1" s="1"/>
  <c r="J633" i="1" s="1"/>
  <c r="H648" i="1"/>
  <c r="J648" i="1" s="1"/>
  <c r="I661" i="1"/>
  <c r="E33" i="13"/>
  <c r="D35" i="13" s="1"/>
  <c r="C104" i="2"/>
  <c r="G664" i="1"/>
  <c r="G667" i="1" s="1"/>
  <c r="E145" i="2"/>
  <c r="D31" i="13"/>
  <c r="C31" i="13" s="1"/>
  <c r="F660" i="1"/>
  <c r="F664" i="1" s="1"/>
  <c r="F672" i="1" s="1"/>
  <c r="C4" i="10" s="1"/>
  <c r="C128" i="2"/>
  <c r="C115" i="2"/>
  <c r="L257" i="1"/>
  <c r="L271" i="1" s="1"/>
  <c r="G632" i="1" s="1"/>
  <c r="J632" i="1" s="1"/>
  <c r="C51" i="2"/>
  <c r="G631" i="1"/>
  <c r="G193" i="1"/>
  <c r="G628" i="1" s="1"/>
  <c r="J628" i="1" s="1"/>
  <c r="G626" i="1"/>
  <c r="J52" i="1"/>
  <c r="H621" i="1" s="1"/>
  <c r="J621" i="1" s="1"/>
  <c r="C38" i="10"/>
  <c r="H631" i="1" l="1"/>
  <c r="J631" i="1" s="1"/>
  <c r="J470" i="1"/>
  <c r="H637" i="1"/>
  <c r="G637" i="1"/>
  <c r="H646" i="1"/>
  <c r="J646" i="1" s="1"/>
  <c r="J465" i="1"/>
  <c r="J474" i="1"/>
  <c r="H638" i="1"/>
  <c r="J638" i="1"/>
  <c r="H672" i="1"/>
  <c r="C6" i="10" s="1"/>
  <c r="G672" i="1"/>
  <c r="C5" i="10" s="1"/>
  <c r="D33" i="13"/>
  <c r="D36" i="13" s="1"/>
  <c r="I660" i="1"/>
  <c r="I664" i="1" s="1"/>
  <c r="I672" i="1" s="1"/>
  <c r="C7" i="10" s="1"/>
  <c r="F667" i="1"/>
  <c r="C145" i="2"/>
  <c r="D13" i="10"/>
  <c r="D11" i="10"/>
  <c r="D25" i="10"/>
  <c r="D12" i="10"/>
  <c r="D18" i="10"/>
  <c r="D19" i="10"/>
  <c r="D20" i="10"/>
  <c r="D17" i="10"/>
  <c r="D22" i="10"/>
  <c r="D27" i="10"/>
  <c r="D15" i="10"/>
  <c r="D21" i="10"/>
  <c r="D24" i="10"/>
  <c r="D10" i="10"/>
  <c r="D26" i="10"/>
  <c r="C30" i="10"/>
  <c r="D16" i="10"/>
  <c r="C41" i="10"/>
  <c r="D38" i="10" s="1"/>
  <c r="J637" i="1" l="1"/>
  <c r="J476" i="1"/>
  <c r="H626" i="1" s="1"/>
  <c r="I667" i="1"/>
  <c r="D28" i="10"/>
  <c r="D37" i="10"/>
  <c r="D36" i="10"/>
  <c r="D35" i="10"/>
  <c r="D40" i="10"/>
  <c r="D39" i="10"/>
  <c r="J626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<sst xmlns="http://schemas.openxmlformats.org/spreadsheetml/2006/main" count="3965" uniqueCount="923">
  <si>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</si>
  <si>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</si>
  <si>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</si>
  <si>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</si>
  <si>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</si>
  <si>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</si>
  <si>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</si>
  <si>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</si>
  <si>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</si>
  <si>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</si>
  <si>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</si>
  <si>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</si>
  <si>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</si>
  <si>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</si>
  <si>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</si>
  <si>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</si>
  <si>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</si>
  <si>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</si>
  <si>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</si>
  <si>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</si>
  <si>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</si>
  <si>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</si>
  <si>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</si>
  <si>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</si>
  <si>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</si>
  <si>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</si>
  <si>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</si>
  <si>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</si>
  <si>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</si>
  <si>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</si>
  <si>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</si>
  <si>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</si>
  <si>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</si>
  <si>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</si>
  <si>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</si>
  <si>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</si>
  <si>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</si>
  <si>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</si>
  <si>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</si>
  <si>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</si>
  <si>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</si>
  <si>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</si>
  <si>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</si>
  <si>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</si>
  <si>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</si>
  <si>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</si>
  <si>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</si>
  <si>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</si>
  <si>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</si>
  <si>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</si>
  <si>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</si>
  <si>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</si>
  <si>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</si>
  <si>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</si>
  <si>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</si>
  <si>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</si>
  <si>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</si>
  <si>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</si>
  <si>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</si>
  <si>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</si>
  <si>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</si>
  <si>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</si>
  <si>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</si>
  <si>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</si>
  <si>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</si>
  <si>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</si>
  <si>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</si>
  <si>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</si>
  <si>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</si>
  <si>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</si>
  <si>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</si>
  <si>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</si>
  <si>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</si>
  <si>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</si>
  <si>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</si>
  <si>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</si>
  <si>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</si>
  <si>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</si>
  <si>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</si>
  <si>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</si>
  <si>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</si>
  <si>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</si>
  <si>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</si>
  <si>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</si>
  <si>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</si>
  <si>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</si>
  <si>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</si>
  <si>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</si>
  <si>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</si>
  <si>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</si>
  <si>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</si>
  <si>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</si>
  <si>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</si>
  <si>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</si>
  <si>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</si>
  <si>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</si>
  <si>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</si>
  <si>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</si>
  <si>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</si>
  <si>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</si>
  <si>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</si>
  <si>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</si>
  <si>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</si>
  <si>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</si>
  <si>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</si>
  <si>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</si>
  <si>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</si>
  <si>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</si>
  <si>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</si>
  <si>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</si>
  <si>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</si>
  <si>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</si>
  <si>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</si>
  <si>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</si>
  <si>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</si>
  <si>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</si>
  <si>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</si>
  <si>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</si>
  <si>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</si>
  <si>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</si>
  <si>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</si>
  <si>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</si>
  <si>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</si>
  <si>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</si>
  <si>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</si>
  <si>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</si>
  <si>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</si>
  <si>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</si>
  <si>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</si>
  <si>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</si>
  <si>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</si>
  <si>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</si>
  <si>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</si>
  <si>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</si>
  <si>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</si>
  <si>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</si>
  <si>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</si>
  <si>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</si>
  <si>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</si>
  <si>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</si>
  <si>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</si>
  <si>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</si>
  <si>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</si>
  <si>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</si>
  <si>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</si>
  <si>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</si>
  <si>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</si>
  <si>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</si>
  <si>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</si>
  <si>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</si>
  <si>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</si>
  <si>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</si>
  <si>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</si>
  <si>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</si>
  <si>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</si>
  <si>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</si>
  <si>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</si>
  <si>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</si>
  <si>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</si>
  <si>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</si>
  <si>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</si>
  <si>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</si>
  <si>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</si>
  <si>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</si>
  <si>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</si>
  <si>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</si>
  <si>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</si>
  <si>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</si>
  <si>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</si>
  <si>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</si>
  <si>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</si>
  <si>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</si>
  <si>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</si>
  <si>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</si>
  <si>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</si>
  <si>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</si>
  <si>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</si>
  <si>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</si>
  <si>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</si>
  <si>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</si>
  <si>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</si>
  <si>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</si>
  <si>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</si>
  <si>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</si>
  <si>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</si>
  <si>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</si>
  <si>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</si>
  <si>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</si>
  <si>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</si>
  <si>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</si>
  <si>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</si>
  <si>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</si>
  <si>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</si>
  <si>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</si>
  <si>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</si>
  <si>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</si>
  <si>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</si>
  <si>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</si>
  <si>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</si>
  <si>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</si>
  <si>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</si>
  <si>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</si>
  <si>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</si>
  <si>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</si>
  <si>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</si>
  <si>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</si>
  <si>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</si>
  <si>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</si>
  <si>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</si>
  <si>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</si>
  <si>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</si>
  <si>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</si>
  <si>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</si>
  <si>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</si>
  <si>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</si>
  <si>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</si>
  <si>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</si>
  <si>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</si>
  <si>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</si>
  <si>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</si>
  <si>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</si>
  <si>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</si>
  <si>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</si>
  <si>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</si>
  <si>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</si>
  <si>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</si>
  <si>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</si>
  <si>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</si>
  <si>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</si>
  <si>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</si>
  <si>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</si>
  <si>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</si>
  <si>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</si>
  <si>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</si>
  <si>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</si>
  <si>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</si>
  <si>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</si>
  <si>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</si>
  <si>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</si>
  <si>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</si>
  <si>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</si>
  <si>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</si>
  <si>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</si>
  <si>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</si>
  <si>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</si>
  <si>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</si>
  <si>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</si>
  <si>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</si>
  <si>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</si>
  <si>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</si>
  <si>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</si>
  <si>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</si>
  <si>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</si>
  <si>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</si>
  <si>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</si>
  <si>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</si>
  <si>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</si>
  <si>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</si>
  <si>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</si>
  <si>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</si>
  <si>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</si>
  <si>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</si>
  <si>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</si>
  <si>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</si>
  <si>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</si>
  <si>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</si>
  <si>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</si>
  <si>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</si>
  <si>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</si>
  <si>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</si>
  <si>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</si>
  <si>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</si>
  <si>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</si>
  <si>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</si>
  <si>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</si>
  <si>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</si>
  <si>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</si>
  <si>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</si>
  <si>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</si>
  <si>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</si>
  <si>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</si>
  <si>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</si>
  <si>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</si>
  <si>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</si>
  <si>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</si>
  <si>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</si>
  <si>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</si>
  <si>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</si>
  <si>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</si>
  <si>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</si>
  <si>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</si>
  <si>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</si>
  <si>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</si>
  <si>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</si>
  <si>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</si>
  <si>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</si>
  <si>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</si>
  <si>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</si>
  <si>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</si>
  <si>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</si>
  <si>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</si>
  <si>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</si>
  <si>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</si>
  <si>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</si>
  <si>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</si>
  <si>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</si>
  <si>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</si>
  <si>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</si>
  <si>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</si>
  <si>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</si>
  <si>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</si>
  <si>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</si>
  <si>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</si>
  <si>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</si>
  <si>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</si>
  <si>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</si>
  <si>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</si>
  <si>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</si>
  <si>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</si>
  <si>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</si>
  <si>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</si>
  <si>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</si>
  <si>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</si>
  <si>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</si>
  <si>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</si>
  <si>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</si>
  <si>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</si>
  <si>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</si>
  <si>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</si>
  <si>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</si>
  <si>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</si>
  <si>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</si>
  <si>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</si>
  <si>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</si>
  <si>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</si>
  <si>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</si>
  <si>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</si>
  <si>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</si>
  <si>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</si>
  <si>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</si>
  <si>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</si>
  <si>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</si>
  <si>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</si>
  <si>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</si>
  <si>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</si>
  <si>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</si>
  <si>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</si>
  <si>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</si>
  <si>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</si>
  <si>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</si>
  <si>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</si>
  <si>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</si>
  <si>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</si>
  <si>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</si>
  <si>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</si>
  <si>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</si>
  <si>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</si>
  <si>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</si>
  <si>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</si>
  <si>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</si>
  <si>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</si>
  <si>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</si>
  <si>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</si>
  <si>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</si>
  <si>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</si>
  <si>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</si>
  <si>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</si>
  <si>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</si>
  <si>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</si>
  <si>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</si>
  <si>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</si>
  <si>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</si>
  <si>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</si>
  <si>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</si>
  <si>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</si>
  <si>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</si>
  <si>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</si>
  <si>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</si>
  <si>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</si>
  <si>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</si>
  <si>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</si>
  <si>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</si>
  <si>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</si>
  <si>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</si>
  <si>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</si>
  <si>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</si>
  <si>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</si>
  <si>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</si>
  <si>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</si>
  <si>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</si>
  <si>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</si>
  <si>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</si>
  <si>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</si>
  <si>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</si>
  <si>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</si>
  <si>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</si>
  <si>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</si>
  <si>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</si>
  <si>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</si>
  <si>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</si>
  <si>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</si>
  <si>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</si>
  <si>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</si>
  <si>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</si>
  <si>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</si>
  <si>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</si>
  <si>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</si>
  <si>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</si>
  <si>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</si>
  <si>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</si>
  <si>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</si>
  <si>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</si>
  <si>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</si>
  <si>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</si>
  <si>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</si>
  <si>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</si>
  <si>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</si>
  <si>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</si>
  <si>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</si>
  <si>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</si>
  <si>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</si>
  <si>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</si>
  <si>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</si>
  <si>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</si>
  <si>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</si>
  <si>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</si>
  <si>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</si>
  <si>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</si>
  <si>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</si>
  <si>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</si>
  <si>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</si>
  <si>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</si>
  <si>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</si>
  <si>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</si>
  <si>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</si>
  <si>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</si>
  <si>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</si>
  <si>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</si>
  <si>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</si>
  <si>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</si>
  <si>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</si>
  <si>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</si>
  <si>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</si>
  <si>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</si>
  <si>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</si>
  <si>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</si>
  <si>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</si>
  <si>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</si>
  <si>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</si>
  <si>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</si>
  <si>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</si>
  <si>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</si>
  <si>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</si>
  <si>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</si>
  <si>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</si>
  <si>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</si>
  <si>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</si>
  <si>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</si>
  <si>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</si>
  <si>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</si>
  <si>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</si>
  <si>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</si>
  <si>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</si>
  <si>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</si>
  <si>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</si>
  <si>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</si>
  <si>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</si>
  <si>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</si>
  <si>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</si>
  <si>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</si>
  <si>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</si>
  <si>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</si>
  <si>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</si>
  <si>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</si>
  <si>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</si>
  <si>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</si>
  <si>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</si>
  <si>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</si>
  <si>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</si>
  <si>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</si>
  <si>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</si>
  <si>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</si>
  <si>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</si>
  <si>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</si>
  <si>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</si>
  <si>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</si>
  <si>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</si>
  <si>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</si>
  <si>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</si>
  <si>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</si>
  <si>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</si>
  <si>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</si>
  <si>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</si>
  <si>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</si>
  <si>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</si>
  <si>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</si>
  <si>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</si>
  <si>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</si>
  <si>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</si>
  <si>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</si>
  <si>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</si>
  <si>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</si>
  <si>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</si>
  <si>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</si>
  <si>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</si>
  <si>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</si>
  <si>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</si>
  <si>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</si>
  <si>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</si>
  <si>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</si>
  <si>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</si>
  <si>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</si>
  <si>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</si>
  <si>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</si>
  <si>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</si>
  <si>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</si>
  <si>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</si>
  <si>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</si>
  <si>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</si>
  <si>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</si>
  <si>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</si>
  <si>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</si>
  <si>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</si>
  <si>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</si>
  <si>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</si>
  <si>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</si>
  <si>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</si>
  <si>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</si>
  <si>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</si>
  <si>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</si>
  <si>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</si>
  <si>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</si>
  <si>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</si>
  <si>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</si>
  <si>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</si>
  <si>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</si>
  <si>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</si>
  <si>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</si>
  <si>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</si>
  <si>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</si>
  <si>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</si>
  <si>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</si>
  <si>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</si>
  <si>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</si>
  <si>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</si>
  <si>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</si>
  <si>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</si>
  <si>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</si>
  <si>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</si>
  <si>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</si>
  <si>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</si>
  <si>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</si>
  <si>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</si>
  <si>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</si>
  <si>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</si>
  <si>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</si>
  <si>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</si>
  <si>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</si>
  <si>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</si>
  <si>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</si>
  <si>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</si>
  <si>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</si>
  <si>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</si>
  <si>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</si>
  <si>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</si>
  <si>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</si>
  <si>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</si>
  <si>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</si>
  <si>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</si>
  <si>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</si>
  <si>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</si>
  <si>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</si>
  <si>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</si>
  <si>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</si>
  <si>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</si>
  <si>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</si>
  <si>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</si>
  <si>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</si>
  <si>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</si>
  <si>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</si>
  <si>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</si>
  <si>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</si>
  <si>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</si>
  <si>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</si>
  <si>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</si>
  <si>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</si>
  <si>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</si>
  <si>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</si>
  <si>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</si>
  <si>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</si>
  <si>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</si>
  <si>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</si>
  <si>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</si>
  <si>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</si>
  <si>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</si>
  <si>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</si>
  <si>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</si>
  <si>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</si>
  <si>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</si>
  <si>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</si>
  <si>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</si>
  <si>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</si>
  <si>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</si>
  <si>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</si>
  <si>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</si>
  <si>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</si>
  <si>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</si>
  <si>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</si>
  <si>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</si>
  <si>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</si>
  <si>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</si>
  <si>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</si>
  <si>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</si>
  <si>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</si>
  <si>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</si>
  <si>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</si>
  <si>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</si>
  <si>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</si>
  <si>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</si>
  <si>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</si>
  <si>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</si>
  <si>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</si>
  <si>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</si>
  <si>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</si>
  <si>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</si>
  <si>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</si>
  <si>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</si>
  <si>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</si>
  <si>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</si>
  <si>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</si>
  <si>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</si>
  <si>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</si>
  <si>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</si>
  <si>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</si>
  <si>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</si>
  <si>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</si>
  <si>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</si>
  <si>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</si>
  <si>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</si>
  <si>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</si>
  <si>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</si>
  <si>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</si>
  <si>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</si>
  <si>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</si>
  <si>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</si>
  <si>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</si>
  <si>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</si>
  <si>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</si>
  <si>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</si>
  <si>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</si>
  <si>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</si>
  <si>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</si>
  <si>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</si>
  <si>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</si>
  <si>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</si>
  <si>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</si>
  <si>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</si>
  <si>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</si>
  <si>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</si>
  <si>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</si>
  <si>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</si>
  <si>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</si>
  <si>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</si>
  <si>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</si>
  <si>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</si>
  <si>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</si>
  <si>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</si>
  <si>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</si>
  <si>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</si>
  <si>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</si>
  <si>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</si>
  <si>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</si>
  <si>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</si>
  <si>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</si>
  <si>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</si>
  <si>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</si>
  <si>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</si>
  <si>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</si>
  <si>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</si>
  <si>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</si>
  <si>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</si>
  <si>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</si>
  <si>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</si>
  <si>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</si>
  <si>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</si>
  <si>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</si>
  <si>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</si>
  <si>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</si>
  <si>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</si>
  <si>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</si>
  <si>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</si>
  <si>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</si>
  <si>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</si>
  <si>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</si>
  <si>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</si>
  <si>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</si>
  <si>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</si>
  <si>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</si>
  <si>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</si>
  <si>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</si>
  <si>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</si>
  <si>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</si>
  <si>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</si>
  <si>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</si>
  <si>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</si>
  <si>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</si>
  <si>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</si>
  <si>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</si>
  <si>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</si>
  <si>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</si>
  <si>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</si>
  <si>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</si>
  <si>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</si>
  <si>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</si>
  <si>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</si>
  <si>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</si>
  <si>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</si>
  <si>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</si>
  <si>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</si>
  <si>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</si>
  <si>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</si>
  <si>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</si>
  <si>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</si>
  <si>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</si>
  <si>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</si>
  <si>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</si>
  <si>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</si>
  <si>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</si>
  <si>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</si>
  <si>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</si>
  <si>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</si>
  <si>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</si>
  <si>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</si>
  <si>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</si>
  <si>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</si>
  <si>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</si>
  <si>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</si>
  <si>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</si>
  <si>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</si>
  <si>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</si>
  <si>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</si>
  <si>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</si>
  <si>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</si>
  <si>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</si>
  <si>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</si>
  <si>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</si>
  <si>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</si>
  <si>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</si>
  <si>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</si>
  <si>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</si>
  <si>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</si>
  <si>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</si>
  <si>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</si>
  <si>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</si>
  <si>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</si>
  <si>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</si>
  <si>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</si>
  <si>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</si>
  <si>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</si>
  <si>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</si>
  <si>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</si>
  <si>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</si>
  <si>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</si>
  <si>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</si>
  <si>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</si>
  <si>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</si>
  <si>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</si>
  <si>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</si>
  <si>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</si>
  <si>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</si>
  <si>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</si>
  <si>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</si>
  <si>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</si>
  <si>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</si>
  <si>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</si>
  <si>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</si>
  <si>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</si>
  <si>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</si>
  <si>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</si>
  <si>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</si>
  <si>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</si>
  <si>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</si>
  <si>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</si>
  <si>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</si>
  <si>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</si>
  <si>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</si>
  <si>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</si>
  <si>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</si>
  <si>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</si>
  <si>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</si>
  <si>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</si>
  <si>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</si>
  <si>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</si>
  <si>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</si>
  <si>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</si>
  <si>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</si>
  <si>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</si>
  <si>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</si>
  <si>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</si>
  <si>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</si>
  <si>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</si>
  <si>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</si>
  <si>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</si>
  <si>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</si>
  <si>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</si>
  <si>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</si>
  <si>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</si>
  <si>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</si>
  <si>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</si>
  <si>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</si>
  <si>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</si>
  <si>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</si>
  <si>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</si>
  <si>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</si>
  <si>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</si>
  <si>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</si>
  <si>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</si>
  <si>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</si>
  <si>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</si>
  <si>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</si>
  <si>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</si>
  <si>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</si>
  <si>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</si>
  <si>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</si>
  <si>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</si>
  <si>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</si>
  <si>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</si>
  <si>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</si>
  <si>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</si>
  <si>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</si>
  <si>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</si>
  <si>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</si>
  <si>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</si>
  <si>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</si>
  <si>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</si>
  <si>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</si>
  <si>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</si>
  <si>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</si>
  <si>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</si>
  <si>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</si>
  <si>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</si>
  <si>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</si>
  <si>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</si>
  <si>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</si>
  <si>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</si>
  <si>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</si>
  <si>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</si>
  <si>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</si>
  <si>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</si>
  <si>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</si>
  <si>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</si>
  <si>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</si>
  <si>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</si>
  <si>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</si>
  <si>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</si>
  <si>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</si>
  <si>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</si>
  <si>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</si>
  <si>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</si>
  <si>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</si>
  <si>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</si>
  <si>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</si>
  <si>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</si>
  <si>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</si>
  <si>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</si>
  <si>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</si>
  <si>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</si>
  <si>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</si>
  <si>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</si>
  <si>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</si>
  <si>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</si>
  <si>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</si>
  <si>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</si>
  <si>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</si>
  <si>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</si>
  <si>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</si>
  <si>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</si>
  <si>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</si>
  <si>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</si>
  <si>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</si>
  <si>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</si>
  <si>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</si>
  <si>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</si>
  <si>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</si>
  <si>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</si>
  <si>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</si>
  <si>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</si>
  <si>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</si>
  <si>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</si>
  <si>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</si>
  <si>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</si>
  <si>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</si>
  <si>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</si>
  <si>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</si>
  <si>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</si>
  <si>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</si>
  <si>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</si>
  <si>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</si>
  <si>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</si>
  <si>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</si>
  <si>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</si>
  <si>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</si>
  <si>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</si>
  <si>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</si>
  <si>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</si>
  <si>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</si>
  <si>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</si>
  <si>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</si>
  <si>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</si>
  <si>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</si>
  <si>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</si>
  <si>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</si>
  <si>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08/06</t>
  </si>
  <si>
    <t>11/10</t>
  </si>
  <si>
    <t>08/26</t>
  </si>
  <si>
    <t>7/25</t>
  </si>
  <si>
    <t>Special Rev Fund expenditures were up 2.2% or $19,340 from prior year.</t>
  </si>
  <si>
    <t>Down 13.83% from Prior year in the amount of ($233,728) in out of district tuition.</t>
  </si>
  <si>
    <t>Transportation was down 8.9% or ($226,544) from prior year.</t>
  </si>
  <si>
    <t>Capital Items were down 13.89% or ($73,613) from prior year.</t>
  </si>
  <si>
    <t xml:space="preserve">Cost per pupil increased approximately 2% from prior year.  </t>
  </si>
  <si>
    <t xml:space="preserve">General Fund expenditures were overall up .8% or $381,135 from prior year. </t>
  </si>
  <si>
    <t>Kearsarge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</si>
</sst>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1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0" fontId="2" fillId="0" borderId="5" xfId="0" applyNumberFormat="1" applyFont="1" applyBorder="1" applyProtection="1">
      <protection locked="0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" fillId="0" borderId="0" xfId="0" quotePrefix="1" applyNumberFormat="1" applyFont="1" applyAlignment="1" applyProtection="1">
      <alignment horizontal="center"/>
      <protection locked="0"/>
    </xf>
    <xf numFmtId="40" fontId="2" fillId="0" borderId="0" xfId="0" applyNumberFormat="1" applyFont="1" applyProtection="1"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.2" customHeight="1" x14ac:dyDescent="0.2">
      <c r="A2" s="175" t="s">
        <v>922</v>
      </c>
      <c r="B2" s="21">
        <v>276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.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.2" customHeight="1" x14ac:dyDescent="0.15">
      <c r="A4" s="1" t="s">
        <v>278</v>
      </c>
      <c r="K4" s="13"/>
      <c r="L4" s="13"/>
    </row>
    <row r="5" spans="1:14" s="3" customFormat="1" ht="12.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.2" customHeight="1" x14ac:dyDescent="0.15">
      <c r="B6" s="7"/>
      <c r="C6" s="7"/>
      <c r="D6" s="7"/>
      <c r="F6" s="224" t="s">
        <v>280</v>
      </c>
      <c r="G6" s="224" t="s">
        <v>281</v>
      </c>
      <c r="H6" s="224" t="s">
        <v>282</v>
      </c>
      <c r="I6" s="224" t="s">
        <v>283</v>
      </c>
      <c r="J6" s="224" t="s">
        <v>284</v>
      </c>
      <c r="K6" s="13"/>
      <c r="L6" s="13"/>
      <c r="M6" s="8"/>
    </row>
    <row r="7" spans="1:14" s="3" customFormat="1" ht="12.2" customHeight="1" x14ac:dyDescent="0.15">
      <c r="A7" s="1" t="s">
        <v>285</v>
      </c>
      <c r="B7" s="7"/>
      <c r="C7" s="7"/>
      <c r="D7" s="7"/>
      <c r="E7" s="7"/>
      <c r="F7" s="224"/>
      <c r="G7" s="225"/>
      <c r="H7" s="224" t="s">
        <v>771</v>
      </c>
      <c r="I7" s="225"/>
      <c r="J7" s="225"/>
      <c r="K7" s="13"/>
      <c r="L7" s="13"/>
      <c r="M7" s="8"/>
    </row>
    <row r="8" spans="1:14" s="3" customFormat="1" ht="12.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.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2402888.19</v>
      </c>
      <c r="G9" s="18"/>
      <c r="H9" s="18"/>
      <c r="I9" s="18">
        <f>152183.5</f>
        <v>152183.5</v>
      </c>
      <c r="J9" s="67">
        <f>SUM(I439)</f>
        <v>0</v>
      </c>
      <c r="K9" s="24" t="s">
        <v>288</v>
      </c>
      <c r="L9" s="24" t="s">
        <v>288</v>
      </c>
      <c r="M9" s="8"/>
      <c r="N9" s="271"/>
    </row>
    <row r="10" spans="1:14" s="3" customFormat="1" ht="12.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2718167.96</v>
      </c>
      <c r="G10" s="18">
        <v>449531.74</v>
      </c>
      <c r="H10" s="18"/>
      <c r="I10" s="18"/>
      <c r="J10" s="67">
        <f>SUM(I440)</f>
        <v>1975827.07</v>
      </c>
      <c r="K10" s="24" t="s">
        <v>288</v>
      </c>
      <c r="L10" s="24" t="s">
        <v>288</v>
      </c>
      <c r="M10" s="8"/>
      <c r="N10" s="271"/>
    </row>
    <row r="11" spans="1:14" s="3" customFormat="1" ht="12.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.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171399.85+516845.21+45732+4998</f>
        <v>738975.06</v>
      </c>
      <c r="G12" s="18">
        <f>10702.9+26285.64</f>
        <v>36988.54</v>
      </c>
      <c r="H12" s="18">
        <f>312144.19+571.41+2737.44</f>
        <v>315453.03999999998</v>
      </c>
      <c r="I12" s="18"/>
      <c r="J12" s="67">
        <f>SUM(I441)</f>
        <v>2</v>
      </c>
      <c r="K12" s="24" t="s">
        <v>288</v>
      </c>
      <c r="L12" s="24" t="s">
        <v>288</v>
      </c>
      <c r="M12" s="8"/>
      <c r="N12" s="271"/>
    </row>
    <row r="13" spans="1:14" s="3" customFormat="1" ht="12.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273934.83</v>
      </c>
      <c r="G13" s="18">
        <v>47127.59</v>
      </c>
      <c r="H13" s="18">
        <f>71221.07+223866.68</f>
        <v>295087.75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1"/>
    </row>
    <row r="14" spans="1:14" s="3" customFormat="1" ht="12.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.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.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59719.8</v>
      </c>
      <c r="G16" s="18">
        <v>18497.38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.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17376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.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.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6211061.8400000008</v>
      </c>
      <c r="G19" s="41">
        <f>SUM(G9:G18)</f>
        <v>552145.25</v>
      </c>
      <c r="H19" s="41">
        <f>SUM(H9:H18)</f>
        <v>610540.79</v>
      </c>
      <c r="I19" s="41">
        <f>SUM(I9:I18)</f>
        <v>152183.5</v>
      </c>
      <c r="J19" s="41">
        <f>SUM(J9:J18)</f>
        <v>1975829.07</v>
      </c>
      <c r="K19" s="45" t="s">
        <v>288</v>
      </c>
      <c r="L19" s="45" t="s">
        <v>288</v>
      </c>
      <c r="M19" s="8"/>
      <c r="N19" s="271"/>
    </row>
    <row r="20" spans="1:14" s="3" customFormat="1" ht="12.2" customHeight="1" x14ac:dyDescent="0.15">
      <c r="A20" s="1" t="s">
        <v>454</v>
      </c>
      <c r="C20" s="158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.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.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312144.19</v>
      </c>
      <c r="G22" s="18">
        <v>516845.21</v>
      </c>
      <c r="H22" s="18">
        <f>26285.64+171399.85+13440.34+571.41</f>
        <v>211697.24</v>
      </c>
      <c r="I22" s="18">
        <v>45732</v>
      </c>
      <c r="J22" s="67">
        <f>SUM(I448)</f>
        <v>5000</v>
      </c>
      <c r="K22" s="24" t="s">
        <v>288</v>
      </c>
      <c r="L22" s="24" t="s">
        <v>288</v>
      </c>
      <c r="M22" s="8"/>
      <c r="N22" s="271"/>
    </row>
    <row r="23" spans="1:14" s="3" customFormat="1" ht="12.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.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351954.94</v>
      </c>
      <c r="G24" s="18">
        <v>543.75</v>
      </c>
      <c r="H24" s="18">
        <f>11642.75</f>
        <v>11642.75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.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.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.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.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28101.59+1300647.05</f>
        <v>1328748.6400000001</v>
      </c>
      <c r="G28" s="18"/>
      <c r="H28" s="18">
        <v>41192.519999999997</v>
      </c>
      <c r="I28" s="18"/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.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0.68+37.82+8.86+1250+18051.24+37.99</f>
        <v>19386.590000000004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.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30407.29</v>
      </c>
      <c r="G30" s="18">
        <v>16258.91</v>
      </c>
      <c r="H30" s="18">
        <f>346008.28</f>
        <v>346008.28</v>
      </c>
      <c r="I30" s="18"/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.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.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2042641.6500000001</v>
      </c>
      <c r="G32" s="41">
        <f>SUM(G22:G31)</f>
        <v>533647.87</v>
      </c>
      <c r="H32" s="41">
        <f>SUM(H22:H31)</f>
        <v>610540.79</v>
      </c>
      <c r="I32" s="41">
        <f>SUM(I22:I31)</f>
        <v>45732</v>
      </c>
      <c r="J32" s="41">
        <f>SUM(J22:J31)</f>
        <v>5000</v>
      </c>
      <c r="K32" s="45" t="s">
        <v>288</v>
      </c>
      <c r="L32" s="45" t="s">
        <v>288</v>
      </c>
      <c r="M32" s="8"/>
      <c r="N32" s="271"/>
    </row>
    <row r="33" spans="1:14" s="3" customFormat="1" ht="12.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.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.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59719.8</v>
      </c>
      <c r="G35" s="18">
        <v>18497.38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.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17376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.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1"/>
    </row>
    <row r="38" spans="1:14" s="3" customFormat="1" ht="12.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.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.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.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.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.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.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75000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.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872823.24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.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837783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.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.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f>105423.03+1028.47</f>
        <v>106451.5</v>
      </c>
      <c r="J48" s="13">
        <f>SUM(I459)</f>
        <v>1970829.07</v>
      </c>
      <c r="K48" s="24" t="s">
        <v>288</v>
      </c>
      <c r="L48" s="24" t="s">
        <v>288</v>
      </c>
      <c r="M48" s="8"/>
      <c r="N48" s="271"/>
    </row>
    <row r="49" spans="1:14" s="3" customFormat="1" ht="12.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.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2305718.15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.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4168420.19</v>
      </c>
      <c r="G51" s="41">
        <f>SUM(G35:G50)</f>
        <v>18497.38</v>
      </c>
      <c r="H51" s="41">
        <f>SUM(H35:H50)</f>
        <v>0</v>
      </c>
      <c r="I51" s="41">
        <f>SUM(I35:I50)</f>
        <v>106451.5</v>
      </c>
      <c r="J51" s="41">
        <f>SUM(J35:J50)</f>
        <v>1970829.07</v>
      </c>
      <c r="K51" s="45" t="s">
        <v>288</v>
      </c>
      <c r="L51" s="45" t="s">
        <v>288</v>
      </c>
      <c r="N51" s="269"/>
    </row>
    <row r="52" spans="1:14" s="3" customFormat="1" ht="12.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6211061.8399999999</v>
      </c>
      <c r="G52" s="41">
        <f>G51+G32</f>
        <v>552145.25</v>
      </c>
      <c r="H52" s="41">
        <f>H51+H32</f>
        <v>610540.79</v>
      </c>
      <c r="I52" s="41">
        <f>I51+I32</f>
        <v>152183.5</v>
      </c>
      <c r="J52" s="41">
        <f>J51+J32</f>
        <v>1975829.07</v>
      </c>
      <c r="K52" s="45" t="s">
        <v>288</v>
      </c>
      <c r="L52" s="45" t="s">
        <v>288</v>
      </c>
      <c r="M52" s="8"/>
      <c r="N52" s="271"/>
    </row>
    <row r="53" spans="1:14" s="3" customFormat="1" ht="12.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.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.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.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.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26505673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1"/>
    </row>
    <row r="58" spans="1:14" s="3" customFormat="1" ht="12.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.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2"/>
    </row>
    <row r="60" spans="1:14" s="27" customFormat="1" ht="12.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26505673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.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.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.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49417.99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.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.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.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8241.59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.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.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1552.53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.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3100.62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.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.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.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.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.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.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.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.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.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8197.76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.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70510.490000000005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1"/>
    </row>
    <row r="80" spans="1:14" s="3" customFormat="1" ht="12.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.2" customHeight="1" x14ac:dyDescent="0.2">
      <c r="A81" s="169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.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.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.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.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.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.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.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.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.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.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.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.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.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.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.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40304.720000000001</v>
      </c>
      <c r="G96" s="18">
        <v>3038.03</v>
      </c>
      <c r="H96" s="18"/>
      <c r="I96" s="18">
        <v>1028.47</v>
      </c>
      <c r="J96" s="18">
        <v>9186.5400000000009</v>
      </c>
      <c r="K96" s="24" t="s">
        <v>288</v>
      </c>
      <c r="L96" s="24" t="s">
        <v>288</v>
      </c>
      <c r="M96" s="8"/>
      <c r="N96" s="271"/>
    </row>
    <row r="97" spans="1:14" s="3" customFormat="1" ht="12.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363936.81+521.8</f>
        <v>364458.61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.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.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.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.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12328.47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.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1"/>
    </row>
    <row r="103" spans="1:14" s="3" customFormat="1" ht="12.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.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.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.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.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.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.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.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123141.25</v>
      </c>
      <c r="G110" s="18">
        <v>43184.34</v>
      </c>
      <c r="H110" s="18">
        <v>69529.33</v>
      </c>
      <c r="I110" s="18"/>
      <c r="J110" s="18">
        <f>46730.41-9186.54</f>
        <v>37543.870000000003</v>
      </c>
      <c r="K110" s="24" t="s">
        <v>288</v>
      </c>
      <c r="L110" s="24" t="s">
        <v>288</v>
      </c>
      <c r="M110" s="8"/>
      <c r="N110" s="271"/>
    </row>
    <row r="111" spans="1:14" ht="12.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175774.44</v>
      </c>
      <c r="G111" s="41">
        <f>SUM(G96:G110)</f>
        <v>410680.98</v>
      </c>
      <c r="H111" s="41">
        <f>SUM(H96:H110)</f>
        <v>69529.33</v>
      </c>
      <c r="I111" s="41">
        <f>SUM(I96:I110)</f>
        <v>1028.47</v>
      </c>
      <c r="J111" s="41">
        <f>SUM(J96:J110)</f>
        <v>46730.41</v>
      </c>
      <c r="K111" s="45" t="s">
        <v>288</v>
      </c>
      <c r="L111" s="45" t="s">
        <v>288</v>
      </c>
      <c r="N111" s="269"/>
    </row>
    <row r="112" spans="1:14" s="3" customFormat="1" ht="12.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26751957.93</v>
      </c>
      <c r="G112" s="41">
        <f>G60+G111</f>
        <v>410680.98</v>
      </c>
      <c r="H112" s="41">
        <f>H60+H79+H94+H111</f>
        <v>69529.33</v>
      </c>
      <c r="I112" s="41">
        <f>I60+I111</f>
        <v>1028.47</v>
      </c>
      <c r="J112" s="41">
        <f>J60+J111</f>
        <v>46730.41</v>
      </c>
      <c r="K112" s="45" t="s">
        <v>288</v>
      </c>
      <c r="L112" s="45" t="s">
        <v>288</v>
      </c>
      <c r="M112" s="8"/>
      <c r="N112" s="271"/>
    </row>
    <row r="113" spans="1:14" s="3" customFormat="1" ht="12.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.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.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.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.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2874073.51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.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7005638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.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.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92646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1"/>
    </row>
    <row r="121" spans="1:14" s="3" customFormat="1" ht="12.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9972357.5099999998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.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.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750359.26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.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.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.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656922.04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.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.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37950.800000000003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.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.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.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.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6186.71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.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.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.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1"/>
    </row>
    <row r="136" spans="1:14" s="3" customFormat="1" ht="12.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1445232.1</v>
      </c>
      <c r="G136" s="41">
        <f>SUM(G123:G135)</f>
        <v>6186.71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.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.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.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.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11417589.609999999</v>
      </c>
      <c r="G140" s="41">
        <f>G121+SUM(G136:G137)</f>
        <v>6186.71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.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.2" customHeight="1" x14ac:dyDescent="0.2">
      <c r="A143" s="28" t="s">
        <v>456</v>
      </c>
      <c r="F143" s="16" t="s">
        <v>280</v>
      </c>
      <c r="G143" s="16" t="s">
        <v>281</v>
      </c>
      <c r="H143" s="223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.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.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.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.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.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.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.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.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.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.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.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236209.7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.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91776.45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.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.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66090.33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.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209040.8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.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479208.83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.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440855.31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.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22058.49</v>
      </c>
      <c r="I161" s="18"/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.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440855.31</v>
      </c>
      <c r="G162" s="41">
        <f>SUM(G150:G161)</f>
        <v>209040.8</v>
      </c>
      <c r="H162" s="41">
        <f>SUM(H150:H161)</f>
        <v>895343.8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.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.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.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.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.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.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.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440855.31</v>
      </c>
      <c r="G169" s="41">
        <f>G147+G162+SUM(G163:G168)</f>
        <v>209040.8</v>
      </c>
      <c r="H169" s="41">
        <f>H147+H162+SUM(H163:H168)</f>
        <v>895343.8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.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.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3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.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.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.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.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57732.74</v>
      </c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.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57732.74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.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.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1"/>
    </row>
    <row r="180" spans="1:14" s="3" customFormat="1" ht="12.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3245.11</v>
      </c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1"/>
    </row>
    <row r="181" spans="1:14" s="3" customFormat="1" ht="12.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1"/>
    </row>
    <row r="182" spans="1:14" s="3" customFormat="1" ht="12.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1"/>
    </row>
    <row r="183" spans="1:14" s="3" customFormat="1" ht="12.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3245.11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1"/>
    </row>
    <row r="184" spans="1:14" s="3" customFormat="1" ht="12.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.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.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.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69"/>
    </row>
    <row r="188" spans="1:14" ht="12.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.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.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.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.2" customHeight="1" thickTop="1" thickBot="1" x14ac:dyDescent="0.25">
      <c r="A192" s="38" t="s">
        <v>418</v>
      </c>
      <c r="B192" s="39" t="s">
        <v>330</v>
      </c>
      <c r="C192" s="40">
        <v>18</v>
      </c>
      <c r="D192" s="155" t="s">
        <v>430</v>
      </c>
      <c r="E192" s="51">
        <v>5000</v>
      </c>
      <c r="F192" s="41">
        <f>F177+F183+SUM(F188:F191)</f>
        <v>60977.85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1"/>
    </row>
    <row r="193" spans="1:14" s="3" customFormat="1" ht="12.2" customHeight="1" thickTop="1" x14ac:dyDescent="0.2">
      <c r="A193" s="46" t="s">
        <v>457</v>
      </c>
      <c r="B193" s="39" t="s">
        <v>330</v>
      </c>
      <c r="C193" s="40">
        <v>19</v>
      </c>
      <c r="D193" s="156" t="s">
        <v>430</v>
      </c>
      <c r="E193" s="44"/>
      <c r="F193" s="47">
        <f>F112+F140+F169+F192</f>
        <v>38671380.700000003</v>
      </c>
      <c r="G193" s="47">
        <f>G112+G140+G169+G192</f>
        <v>625908.49</v>
      </c>
      <c r="H193" s="47">
        <f>H112+H140+H169+H192</f>
        <v>964873.13</v>
      </c>
      <c r="I193" s="47">
        <f>I112+I140+I169+I192</f>
        <v>1028.47</v>
      </c>
      <c r="J193" s="47">
        <f>J112+J140+J192</f>
        <v>121730.41</v>
      </c>
      <c r="K193" s="45" t="s">
        <v>288</v>
      </c>
      <c r="L193" s="45" t="s">
        <v>288</v>
      </c>
      <c r="M193" s="8"/>
      <c r="N193" s="271"/>
    </row>
    <row r="194" spans="1:14" s="3" customFormat="1" ht="12.2" customHeight="1" x14ac:dyDescent="0.15">
      <c r="A194" s="55" t="s">
        <v>465</v>
      </c>
      <c r="B194" s="36"/>
      <c r="C194" s="58"/>
      <c r="D194" s="58"/>
      <c r="E194" s="58"/>
      <c r="F194" s="176" t="s">
        <v>692</v>
      </c>
      <c r="G194" s="176" t="s">
        <v>693</v>
      </c>
      <c r="H194" s="176" t="s">
        <v>694</v>
      </c>
      <c r="I194" s="176" t="s">
        <v>695</v>
      </c>
      <c r="J194" s="176" t="s">
        <v>696</v>
      </c>
      <c r="K194" s="176" t="s">
        <v>697</v>
      </c>
      <c r="L194" s="56"/>
      <c r="M194" s="8"/>
      <c r="N194" s="271"/>
    </row>
    <row r="195" spans="1:14" s="3" customFormat="1" ht="12.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.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.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3455548.22</v>
      </c>
      <c r="G197" s="18">
        <v>2159943.69</v>
      </c>
      <c r="H197" s="18">
        <v>145608.13</v>
      </c>
      <c r="I197" s="18">
        <v>342443.36</v>
      </c>
      <c r="J197" s="18">
        <v>128329.4</v>
      </c>
      <c r="K197" s="18"/>
      <c r="L197" s="19">
        <f>SUM(F197:K197)</f>
        <v>6231872.8000000007</v>
      </c>
      <c r="M197" s="8"/>
      <c r="N197" s="271"/>
    </row>
    <row r="198" spans="1:14" s="3" customFormat="1" ht="12.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1780023.42</v>
      </c>
      <c r="G198" s="18">
        <v>658594.38</v>
      </c>
      <c r="H198" s="18">
        <v>110125.02</v>
      </c>
      <c r="I198" s="18">
        <v>31219.17</v>
      </c>
      <c r="J198" s="18"/>
      <c r="K198" s="18"/>
      <c r="L198" s="19">
        <f>SUM(F198:K198)</f>
        <v>2579961.9899999998</v>
      </c>
      <c r="M198" s="8"/>
      <c r="N198" s="271"/>
    </row>
    <row r="199" spans="1:14" s="3" customFormat="1" ht="12.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.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>
        <v>200</v>
      </c>
      <c r="J200" s="18"/>
      <c r="K200" s="18"/>
      <c r="L200" s="19">
        <f>SUM(F200:K200)</f>
        <v>200</v>
      </c>
      <c r="M200" s="8"/>
      <c r="N200" s="271"/>
    </row>
    <row r="201" spans="1:14" s="3" customFormat="1" ht="12.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.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489105.57</v>
      </c>
      <c r="G202" s="18">
        <v>245337.62</v>
      </c>
      <c r="H202" s="18">
        <v>1075.54</v>
      </c>
      <c r="I202" s="18">
        <v>5725.34</v>
      </c>
      <c r="J202" s="18"/>
      <c r="K202" s="18"/>
      <c r="L202" s="19">
        <f t="shared" ref="L202:L208" si="0">SUM(F202:K202)</f>
        <v>741244.07</v>
      </c>
      <c r="M202" s="8"/>
      <c r="N202" s="271"/>
    </row>
    <row r="203" spans="1:14" s="3" customFormat="1" ht="12.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151045.72</v>
      </c>
      <c r="G203" s="18">
        <v>103572</v>
      </c>
      <c r="H203" s="18">
        <v>23074.42</v>
      </c>
      <c r="I203" s="18">
        <v>17231.560000000001</v>
      </c>
      <c r="J203" s="18">
        <v>977.13</v>
      </c>
      <c r="K203" s="18"/>
      <c r="L203" s="19">
        <f t="shared" si="0"/>
        <v>295900.83</v>
      </c>
      <c r="M203" s="8"/>
      <c r="N203" s="271"/>
    </row>
    <row r="204" spans="1:14" s="3" customFormat="1" ht="12.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403044.97</v>
      </c>
      <c r="G204" s="18">
        <v>170925.08</v>
      </c>
      <c r="H204" s="18">
        <v>144422.76999999999</v>
      </c>
      <c r="I204" s="18">
        <v>5249.57</v>
      </c>
      <c r="J204" s="18">
        <v>521.4</v>
      </c>
      <c r="K204" s="18">
        <v>8903.0300000000007</v>
      </c>
      <c r="L204" s="19">
        <f t="shared" si="0"/>
        <v>733066.82</v>
      </c>
      <c r="M204" s="8"/>
      <c r="N204" s="271"/>
    </row>
    <row r="205" spans="1:14" s="3" customFormat="1" ht="12.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522624.69</v>
      </c>
      <c r="G205" s="18">
        <v>265524.99</v>
      </c>
      <c r="H205" s="18">
        <v>43522.35</v>
      </c>
      <c r="I205" s="18">
        <v>3768.45</v>
      </c>
      <c r="J205" s="18">
        <v>1038.71</v>
      </c>
      <c r="K205" s="18">
        <v>2542.8000000000002</v>
      </c>
      <c r="L205" s="19">
        <f t="shared" si="0"/>
        <v>839021.98999999987</v>
      </c>
      <c r="M205" s="8"/>
      <c r="N205" s="271"/>
    </row>
    <row r="206" spans="1:14" s="3" customFormat="1" ht="12.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.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280009.90999999997</v>
      </c>
      <c r="G207" s="18">
        <v>158545</v>
      </c>
      <c r="H207" s="18">
        <v>518910.96</v>
      </c>
      <c r="I207" s="18">
        <v>226196.73</v>
      </c>
      <c r="J207" s="18">
        <v>3832.33</v>
      </c>
      <c r="K207" s="18"/>
      <c r="L207" s="19">
        <f t="shared" si="0"/>
        <v>1187494.9300000002</v>
      </c>
      <c r="M207" s="8"/>
      <c r="N207" s="271"/>
    </row>
    <row r="208" spans="1:14" s="3" customFormat="1" ht="12.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955336.89</v>
      </c>
      <c r="I208" s="18">
        <v>65432.69</v>
      </c>
      <c r="J208" s="18"/>
      <c r="K208" s="18"/>
      <c r="L208" s="19">
        <f t="shared" si="0"/>
        <v>1020769.5800000001</v>
      </c>
      <c r="M208" s="8"/>
      <c r="N208" s="271"/>
    </row>
    <row r="209" spans="1:14" s="3" customFormat="1" ht="12.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.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.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7081402.5000000009</v>
      </c>
      <c r="G211" s="41">
        <f t="shared" si="1"/>
        <v>3762442.76</v>
      </c>
      <c r="H211" s="41">
        <f t="shared" si="1"/>
        <v>1942076.08</v>
      </c>
      <c r="I211" s="41">
        <f t="shared" si="1"/>
        <v>697466.87000000011</v>
      </c>
      <c r="J211" s="41">
        <f t="shared" si="1"/>
        <v>134698.97</v>
      </c>
      <c r="K211" s="41">
        <f t="shared" si="1"/>
        <v>11445.830000000002</v>
      </c>
      <c r="L211" s="41">
        <f t="shared" si="1"/>
        <v>13629533.010000002</v>
      </c>
      <c r="M211" s="8"/>
      <c r="N211" s="271"/>
    </row>
    <row r="212" spans="1:14" s="3" customFormat="1" ht="12.2" customHeight="1" x14ac:dyDescent="0.15">
      <c r="A212" s="55" t="s">
        <v>465</v>
      </c>
      <c r="B212" s="36"/>
      <c r="C212" s="36"/>
      <c r="D212" s="36"/>
      <c r="E212" s="36"/>
      <c r="F212" s="176" t="s">
        <v>692</v>
      </c>
      <c r="G212" s="176" t="s">
        <v>693</v>
      </c>
      <c r="H212" s="176" t="s">
        <v>694</v>
      </c>
      <c r="I212" s="176" t="s">
        <v>695</v>
      </c>
      <c r="J212" s="176" t="s">
        <v>696</v>
      </c>
      <c r="K212" s="176" t="s">
        <v>697</v>
      </c>
      <c r="L212" s="67"/>
      <c r="M212" s="8"/>
      <c r="N212" s="271"/>
    </row>
    <row r="213" spans="1:14" s="3" customFormat="1" ht="12.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.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.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3566243.08</v>
      </c>
      <c r="G215" s="18">
        <v>1339835.9099999999</v>
      </c>
      <c r="H215" s="18">
        <v>156071.17000000001</v>
      </c>
      <c r="I215" s="18">
        <v>66713.48</v>
      </c>
      <c r="J215" s="18">
        <v>59041.47</v>
      </c>
      <c r="K215" s="18">
        <v>3088.89</v>
      </c>
      <c r="L215" s="19">
        <f>SUM(F215:K215)</f>
        <v>5190994</v>
      </c>
      <c r="M215" s="8"/>
      <c r="N215" s="271"/>
    </row>
    <row r="216" spans="1:14" s="3" customFormat="1" ht="12.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927459.27</v>
      </c>
      <c r="G216" s="18">
        <v>335509.77</v>
      </c>
      <c r="H216" s="18">
        <v>164133.41</v>
      </c>
      <c r="I216" s="18">
        <v>11081.15</v>
      </c>
      <c r="J216" s="18"/>
      <c r="K216" s="18">
        <v>4412.2299999999996</v>
      </c>
      <c r="L216" s="19">
        <f>SUM(F216:K216)</f>
        <v>1442595.8299999998</v>
      </c>
      <c r="M216" s="8"/>
      <c r="N216" s="271"/>
    </row>
    <row r="217" spans="1:14" s="3" customFormat="1" ht="12.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.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82192.75</v>
      </c>
      <c r="G218" s="18">
        <v>14423.46</v>
      </c>
      <c r="H218" s="18">
        <v>9552</v>
      </c>
      <c r="I218" s="18">
        <v>2906.7</v>
      </c>
      <c r="J218" s="18">
        <v>2784</v>
      </c>
      <c r="K218" s="18">
        <v>4112.9799999999996</v>
      </c>
      <c r="L218" s="19">
        <f>SUM(F218:K218)</f>
        <v>115971.88999999998</v>
      </c>
      <c r="M218" s="8"/>
      <c r="N218" s="271"/>
    </row>
    <row r="219" spans="1:14" s="3" customFormat="1" ht="12.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.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249504.07</v>
      </c>
      <c r="G220" s="18">
        <v>143783.01999999999</v>
      </c>
      <c r="H220" s="18">
        <v>49</v>
      </c>
      <c r="I220" s="18">
        <v>4620.66</v>
      </c>
      <c r="J220" s="18"/>
      <c r="K220" s="18"/>
      <c r="L220" s="19">
        <f t="shared" ref="L220:L226" si="2">SUM(F220:K220)</f>
        <v>397956.74999999994</v>
      </c>
      <c r="M220" s="8"/>
      <c r="N220" s="271"/>
    </row>
    <row r="221" spans="1:14" s="3" customFormat="1" ht="12.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76456</v>
      </c>
      <c r="G221" s="18">
        <v>49815.41</v>
      </c>
      <c r="H221" s="18">
        <v>12428.32</v>
      </c>
      <c r="I221" s="18">
        <v>2533.2600000000002</v>
      </c>
      <c r="J221" s="18"/>
      <c r="K221" s="18"/>
      <c r="L221" s="19">
        <f t="shared" si="2"/>
        <v>141232.99000000002</v>
      </c>
      <c r="M221" s="8"/>
      <c r="N221" s="271"/>
    </row>
    <row r="222" spans="1:14" s="3" customFormat="1" ht="12.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219842.71</v>
      </c>
      <c r="G222" s="18">
        <v>93231.9</v>
      </c>
      <c r="H222" s="18">
        <v>78776.070000000007</v>
      </c>
      <c r="I222" s="18">
        <v>2863.4</v>
      </c>
      <c r="J222" s="18">
        <v>284.39999999999998</v>
      </c>
      <c r="K222" s="18">
        <v>4856.21</v>
      </c>
      <c r="L222" s="19">
        <f t="shared" si="2"/>
        <v>399854.69000000006</v>
      </c>
      <c r="M222" s="8"/>
      <c r="N222" s="271"/>
    </row>
    <row r="223" spans="1:14" s="3" customFormat="1" ht="12.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284715.61</v>
      </c>
      <c r="G223" s="18">
        <v>153515.10999999999</v>
      </c>
      <c r="H223" s="18">
        <v>35398.370000000003</v>
      </c>
      <c r="I223" s="18"/>
      <c r="J223" s="18"/>
      <c r="K223" s="18">
        <v>1590</v>
      </c>
      <c r="L223" s="19">
        <f t="shared" si="2"/>
        <v>475219.08999999997</v>
      </c>
      <c r="M223" s="8"/>
      <c r="N223" s="271"/>
    </row>
    <row r="224" spans="1:14" s="3" customFormat="1" ht="12.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.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224828.13</v>
      </c>
      <c r="G225" s="18">
        <v>113028.56</v>
      </c>
      <c r="H225" s="18">
        <v>268479.3</v>
      </c>
      <c r="I225" s="18">
        <v>217369.39</v>
      </c>
      <c r="J225" s="18">
        <v>2018.18</v>
      </c>
      <c r="K225" s="18"/>
      <c r="L225" s="19">
        <f t="shared" si="2"/>
        <v>825723.56</v>
      </c>
      <c r="M225" s="8"/>
      <c r="N225" s="271"/>
    </row>
    <row r="226" spans="1:14" s="3" customFormat="1" ht="12.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517999.98</v>
      </c>
      <c r="I226" s="18">
        <v>35690.559999999998</v>
      </c>
      <c r="J226" s="18"/>
      <c r="K226" s="18"/>
      <c r="L226" s="19">
        <f t="shared" si="2"/>
        <v>553690.54</v>
      </c>
      <c r="M226" s="8"/>
      <c r="N226" s="271"/>
    </row>
    <row r="227" spans="1:14" s="3" customFormat="1" ht="12.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.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.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5631241.6200000001</v>
      </c>
      <c r="G229" s="41">
        <f>SUM(G215:G228)</f>
        <v>2243143.1399999997</v>
      </c>
      <c r="H229" s="41">
        <f>SUM(H215:H228)</f>
        <v>1242887.6200000001</v>
      </c>
      <c r="I229" s="41">
        <f>SUM(I215:I228)</f>
        <v>343778.6</v>
      </c>
      <c r="J229" s="41">
        <f>SUM(J215:J228)</f>
        <v>64128.05</v>
      </c>
      <c r="K229" s="41">
        <f t="shared" si="3"/>
        <v>18060.309999999998</v>
      </c>
      <c r="L229" s="41">
        <f t="shared" si="3"/>
        <v>9543239.3399999999</v>
      </c>
      <c r="M229" s="8"/>
      <c r="N229" s="271"/>
    </row>
    <row r="230" spans="1:14" s="3" customFormat="1" ht="12.2" customHeight="1" x14ac:dyDescent="0.15">
      <c r="A230" s="55" t="s">
        <v>465</v>
      </c>
      <c r="B230" s="36"/>
      <c r="C230" s="75"/>
      <c r="D230" s="75"/>
      <c r="E230" s="75"/>
      <c r="F230" s="176" t="s">
        <v>692</v>
      </c>
      <c r="G230" s="176" t="s">
        <v>693</v>
      </c>
      <c r="H230" s="176" t="s">
        <v>694</v>
      </c>
      <c r="I230" s="176" t="s">
        <v>695</v>
      </c>
      <c r="J230" s="176" t="s">
        <v>696</v>
      </c>
      <c r="K230" s="176" t="s">
        <v>697</v>
      </c>
      <c r="L230" s="67"/>
      <c r="M230" s="8"/>
      <c r="N230" s="271"/>
    </row>
    <row r="231" spans="1:14" s="3" customFormat="1" ht="12.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.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.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3026005.46</v>
      </c>
      <c r="G233" s="18">
        <v>1576462.23</v>
      </c>
      <c r="H233" s="18">
        <v>121168.53</v>
      </c>
      <c r="I233" s="18">
        <v>119698.59</v>
      </c>
      <c r="J233" s="18">
        <v>117056.02</v>
      </c>
      <c r="K233" s="18">
        <v>13300.43</v>
      </c>
      <c r="L233" s="19">
        <f>SUM(F233:K233)</f>
        <v>4973691.2599999988</v>
      </c>
      <c r="M233" s="8"/>
      <c r="N233" s="271"/>
    </row>
    <row r="234" spans="1:14" s="3" customFormat="1" ht="12.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823248.76</v>
      </c>
      <c r="G234" s="18">
        <v>305630.24</v>
      </c>
      <c r="H234" s="18">
        <v>1309843.75</v>
      </c>
      <c r="I234" s="18">
        <v>11254.51</v>
      </c>
      <c r="J234" s="18"/>
      <c r="K234" s="18"/>
      <c r="L234" s="19">
        <f>SUM(F234:K234)</f>
        <v>2449977.2599999998</v>
      </c>
      <c r="M234" s="8"/>
      <c r="N234" s="271"/>
    </row>
    <row r="235" spans="1:14" s="3" customFormat="1" ht="12.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76279.88</v>
      </c>
      <c r="I235" s="18"/>
      <c r="J235" s="18"/>
      <c r="K235" s="18"/>
      <c r="L235" s="19">
        <f>SUM(F235:K235)</f>
        <v>76279.88</v>
      </c>
      <c r="M235" s="8"/>
      <c r="N235" s="271"/>
    </row>
    <row r="236" spans="1:14" s="3" customFormat="1" ht="12.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189271.67</v>
      </c>
      <c r="G236" s="18">
        <v>28969.439999999999</v>
      </c>
      <c r="H236" s="18">
        <v>51141.52</v>
      </c>
      <c r="I236" s="18">
        <v>22378.34</v>
      </c>
      <c r="J236" s="18">
        <v>43348.26</v>
      </c>
      <c r="K236" s="18">
        <v>22745.25</v>
      </c>
      <c r="L236" s="19">
        <f>SUM(F236:K236)</f>
        <v>357854.48000000004</v>
      </c>
      <c r="M236" s="8"/>
      <c r="N236" s="271"/>
    </row>
    <row r="237" spans="1:14" s="3" customFormat="1" ht="12.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.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336494.25</v>
      </c>
      <c r="G238" s="18">
        <v>156211.01</v>
      </c>
      <c r="H238" s="18">
        <v>250</v>
      </c>
      <c r="I238" s="18">
        <v>9449.39</v>
      </c>
      <c r="J238" s="18">
        <v>74</v>
      </c>
      <c r="K238" s="18">
        <v>107</v>
      </c>
      <c r="L238" s="19">
        <f t="shared" ref="L238:L244" si="4">SUM(F238:K238)</f>
        <v>502585.65</v>
      </c>
      <c r="M238" s="8"/>
      <c r="N238" s="271"/>
    </row>
    <row r="239" spans="1:14" s="3" customFormat="1" ht="12.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85888.75</v>
      </c>
      <c r="G239" s="18">
        <v>75630.39</v>
      </c>
      <c r="H239" s="18">
        <v>16571.09</v>
      </c>
      <c r="I239" s="18">
        <v>15638.8</v>
      </c>
      <c r="J239" s="18">
        <v>11296.7</v>
      </c>
      <c r="K239" s="18"/>
      <c r="L239" s="19">
        <f t="shared" si="4"/>
        <v>205025.73</v>
      </c>
      <c r="M239" s="8"/>
      <c r="N239" s="271"/>
    </row>
    <row r="240" spans="1:14" s="3" customFormat="1" ht="12.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293123.62</v>
      </c>
      <c r="G240" s="18">
        <v>124309.16</v>
      </c>
      <c r="H240" s="18">
        <v>105034.75</v>
      </c>
      <c r="I240" s="18">
        <v>3817.87</v>
      </c>
      <c r="J240" s="18">
        <v>379.2</v>
      </c>
      <c r="K240" s="18">
        <v>6474.93</v>
      </c>
      <c r="L240" s="19">
        <f t="shared" si="4"/>
        <v>533139.53</v>
      </c>
      <c r="M240" s="8"/>
      <c r="N240" s="271"/>
    </row>
    <row r="241" spans="1:14" s="3" customFormat="1" ht="12.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523171.43</v>
      </c>
      <c r="G241" s="18">
        <v>291437.25</v>
      </c>
      <c r="H241" s="18">
        <v>24339.23</v>
      </c>
      <c r="I241" s="18">
        <v>19520.560000000001</v>
      </c>
      <c r="J241" s="18"/>
      <c r="K241" s="18">
        <v>7578</v>
      </c>
      <c r="L241" s="19">
        <f t="shared" si="4"/>
        <v>866046.47</v>
      </c>
      <c r="M241" s="8"/>
      <c r="N241" s="271"/>
    </row>
    <row r="242" spans="1:14" s="3" customFormat="1" ht="12.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.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206047.51</v>
      </c>
      <c r="G243" s="18">
        <v>121397.09</v>
      </c>
      <c r="H243" s="18">
        <v>788747.95</v>
      </c>
      <c r="I243" s="18">
        <v>260273.24</v>
      </c>
      <c r="J243" s="18">
        <v>4788.9399999999996</v>
      </c>
      <c r="K243" s="18"/>
      <c r="L243" s="19">
        <f t="shared" si="4"/>
        <v>1381254.7299999997</v>
      </c>
      <c r="M243" s="8"/>
      <c r="N243" s="271"/>
    </row>
    <row r="244" spans="1:14" s="3" customFormat="1" ht="12.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727828.26</v>
      </c>
      <c r="I244" s="18">
        <v>47587.41</v>
      </c>
      <c r="J244" s="18"/>
      <c r="K244" s="18"/>
      <c r="L244" s="19">
        <f t="shared" si="4"/>
        <v>775415.67</v>
      </c>
      <c r="M244" s="8"/>
      <c r="N244" s="271"/>
    </row>
    <row r="245" spans="1:14" s="3" customFormat="1" ht="12.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.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.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5483251.4499999993</v>
      </c>
      <c r="G247" s="41">
        <f t="shared" si="5"/>
        <v>2680046.81</v>
      </c>
      <c r="H247" s="41">
        <f t="shared" si="5"/>
        <v>3221204.96</v>
      </c>
      <c r="I247" s="41">
        <f t="shared" si="5"/>
        <v>509618.70999999996</v>
      </c>
      <c r="J247" s="41">
        <f t="shared" si="5"/>
        <v>176943.12000000002</v>
      </c>
      <c r="K247" s="41">
        <f t="shared" si="5"/>
        <v>50205.61</v>
      </c>
      <c r="L247" s="41">
        <f t="shared" si="5"/>
        <v>12121270.66</v>
      </c>
      <c r="M247" s="8"/>
      <c r="N247" s="271"/>
    </row>
    <row r="248" spans="1:14" s="3" customFormat="1" ht="12.2" customHeight="1" x14ac:dyDescent="0.15">
      <c r="A248" s="70"/>
      <c r="B248" s="36"/>
      <c r="C248" s="37"/>
      <c r="D248" s="37"/>
      <c r="E248" s="37"/>
      <c r="F248" s="176" t="s">
        <v>692</v>
      </c>
      <c r="G248" s="176" t="s">
        <v>693</v>
      </c>
      <c r="H248" s="176" t="s">
        <v>694</v>
      </c>
      <c r="I248" s="176" t="s">
        <v>695</v>
      </c>
      <c r="J248" s="176" t="s">
        <v>696</v>
      </c>
      <c r="K248" s="176" t="s">
        <v>697</v>
      </c>
      <c r="L248" s="67"/>
      <c r="M248" s="8"/>
      <c r="N248" s="271"/>
    </row>
    <row r="249" spans="1:14" s="3" customFormat="1" ht="12.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.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.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14223.96</v>
      </c>
      <c r="G251" s="18">
        <v>3344.79</v>
      </c>
      <c r="H251" s="18"/>
      <c r="I251" s="18"/>
      <c r="J251" s="18"/>
      <c r="K251" s="18"/>
      <c r="L251" s="19">
        <f t="shared" si="6"/>
        <v>17568.75</v>
      </c>
      <c r="M251" s="8"/>
      <c r="N251" s="271"/>
    </row>
    <row r="252" spans="1:14" s="3" customFormat="1" ht="12.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.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.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.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1"/>
    </row>
    <row r="256" spans="1:14" s="3" customFormat="1" ht="12.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14223.96</v>
      </c>
      <c r="G256" s="41">
        <f t="shared" si="7"/>
        <v>3344.79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17568.75</v>
      </c>
      <c r="M256" s="8"/>
      <c r="N256" s="271"/>
    </row>
    <row r="257" spans="1:14" s="3" customFormat="1" ht="12.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18210119.530000001</v>
      </c>
      <c r="G257" s="41">
        <f t="shared" si="8"/>
        <v>8688977.4999999981</v>
      </c>
      <c r="H257" s="41">
        <f t="shared" si="8"/>
        <v>6406168.6600000001</v>
      </c>
      <c r="I257" s="41">
        <f t="shared" si="8"/>
        <v>1550864.1800000002</v>
      </c>
      <c r="J257" s="41">
        <f t="shared" si="8"/>
        <v>375770.14</v>
      </c>
      <c r="K257" s="41">
        <f t="shared" si="8"/>
        <v>79711.75</v>
      </c>
      <c r="L257" s="41">
        <f t="shared" si="8"/>
        <v>35311611.760000005</v>
      </c>
      <c r="M257" s="8"/>
      <c r="N257" s="271"/>
    </row>
    <row r="258" spans="1:14" s="3" customFormat="1" ht="12.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.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.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1322284.6299999999</v>
      </c>
      <c r="L260" s="19">
        <f>SUM(F260:K260)</f>
        <v>1322284.6299999999</v>
      </c>
      <c r="M260" s="8"/>
      <c r="N260" s="271"/>
    </row>
    <row r="261" spans="1:14" ht="12.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777397.42</v>
      </c>
      <c r="L261" s="19">
        <f>SUM(F261:K261)</f>
        <v>777397.42</v>
      </c>
      <c r="N261" s="269"/>
    </row>
    <row r="262" spans="1:14" ht="12.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.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69"/>
    </row>
    <row r="264" spans="1:14" ht="12.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69"/>
    </row>
    <row r="265" spans="1:14" ht="12.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69"/>
    </row>
    <row r="266" spans="1:14" ht="12.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69"/>
    </row>
    <row r="267" spans="1:14" ht="12.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.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69"/>
    </row>
    <row r="269" spans="1:14" ht="12.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69"/>
    </row>
    <row r="270" spans="1:14" ht="12.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2174682.0499999998</v>
      </c>
      <c r="L270" s="41">
        <f t="shared" si="9"/>
        <v>2174682.0499999998</v>
      </c>
      <c r="N270" s="269"/>
    </row>
    <row r="271" spans="1:14" s="3" customFormat="1" ht="12.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18210119.530000001</v>
      </c>
      <c r="G271" s="42">
        <f t="shared" si="11"/>
        <v>8688977.4999999981</v>
      </c>
      <c r="H271" s="42">
        <f t="shared" si="11"/>
        <v>6406168.6600000001</v>
      </c>
      <c r="I271" s="42">
        <f t="shared" si="11"/>
        <v>1550864.1800000002</v>
      </c>
      <c r="J271" s="42">
        <f t="shared" si="11"/>
        <v>375770.14</v>
      </c>
      <c r="K271" s="42">
        <f t="shared" si="11"/>
        <v>2254393.7999999998</v>
      </c>
      <c r="L271" s="42">
        <f t="shared" si="11"/>
        <v>37486293.810000002</v>
      </c>
      <c r="M271" s="8"/>
      <c r="N271" s="271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.2" customHeight="1" x14ac:dyDescent="0.15">
      <c r="A273" s="29" t="s">
        <v>466</v>
      </c>
      <c r="F273" s="176" t="s">
        <v>692</v>
      </c>
      <c r="G273" s="176" t="s">
        <v>693</v>
      </c>
      <c r="H273" s="176" t="s">
        <v>694</v>
      </c>
      <c r="I273" s="176" t="s">
        <v>695</v>
      </c>
      <c r="J273" s="176" t="s">
        <v>696</v>
      </c>
      <c r="K273" s="176" t="s">
        <v>697</v>
      </c>
      <c r="M273" s="8"/>
      <c r="N273" s="271"/>
    </row>
    <row r="274" spans="1:14" s="3" customFormat="1" ht="12.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.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.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160399.18</v>
      </c>
      <c r="G276" s="18">
        <v>36635.31</v>
      </c>
      <c r="H276" s="18"/>
      <c r="I276" s="18">
        <v>32527.64</v>
      </c>
      <c r="J276" s="18">
        <v>30060.66</v>
      </c>
      <c r="K276" s="18"/>
      <c r="L276" s="19">
        <f>SUM(F276:K276)</f>
        <v>259622.79</v>
      </c>
      <c r="M276" s="8"/>
      <c r="N276" s="271"/>
    </row>
    <row r="277" spans="1:14" s="3" customFormat="1" ht="12.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>
        <v>33081.47</v>
      </c>
      <c r="J277" s="18">
        <v>20973.02</v>
      </c>
      <c r="K277" s="18"/>
      <c r="L277" s="19">
        <f>SUM(F277:K277)</f>
        <v>54054.490000000005</v>
      </c>
      <c r="M277" s="8"/>
      <c r="N277" s="271"/>
    </row>
    <row r="278" spans="1:14" s="3" customFormat="1" ht="12.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.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5880</v>
      </c>
      <c r="G279" s="18">
        <v>481.62</v>
      </c>
      <c r="H279" s="18"/>
      <c r="I279" s="18"/>
      <c r="J279" s="18"/>
      <c r="K279" s="18"/>
      <c r="L279" s="19">
        <f>SUM(F279:K279)</f>
        <v>6361.62</v>
      </c>
      <c r="M279" s="8"/>
      <c r="N279" s="271"/>
    </row>
    <row r="280" spans="1:14" s="3" customFormat="1" ht="12.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.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4500</v>
      </c>
      <c r="I281" s="18">
        <v>211.2</v>
      </c>
      <c r="J281" s="18"/>
      <c r="K281" s="18"/>
      <c r="L281" s="19">
        <f t="shared" ref="L281:L287" si="12">SUM(F281:K281)</f>
        <v>4711.2</v>
      </c>
      <c r="M281" s="8"/>
      <c r="N281" s="271"/>
    </row>
    <row r="282" spans="1:14" s="3" customFormat="1" ht="12.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30455.18</v>
      </c>
      <c r="G282" s="18">
        <v>12654.87</v>
      </c>
      <c r="H282" s="18">
        <v>26432.62</v>
      </c>
      <c r="I282" s="18">
        <v>3935.04</v>
      </c>
      <c r="J282" s="18">
        <v>4787.54</v>
      </c>
      <c r="K282" s="18"/>
      <c r="L282" s="19">
        <f t="shared" si="12"/>
        <v>78265.249999999985</v>
      </c>
      <c r="M282" s="8"/>
      <c r="N282" s="271"/>
    </row>
    <row r="283" spans="1:14" s="3" customFormat="1" ht="12.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.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>
        <v>12500</v>
      </c>
      <c r="I284" s="18"/>
      <c r="J284" s="18"/>
      <c r="K284" s="18"/>
      <c r="L284" s="19">
        <f t="shared" si="12"/>
        <v>12500</v>
      </c>
      <c r="M284" s="8"/>
      <c r="N284" s="271"/>
    </row>
    <row r="285" spans="1:14" s="3" customFormat="1" ht="12.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.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.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.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>
        <v>13263.76</v>
      </c>
      <c r="L288" s="19">
        <f>SUM(F288:K288)</f>
        <v>13263.76</v>
      </c>
      <c r="M288" s="8"/>
      <c r="N288" s="271"/>
    </row>
    <row r="289" spans="1:14" s="3" customFormat="1" ht="12.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.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196734.36</v>
      </c>
      <c r="G290" s="42">
        <f t="shared" si="13"/>
        <v>49771.8</v>
      </c>
      <c r="H290" s="42">
        <f t="shared" si="13"/>
        <v>43432.619999999995</v>
      </c>
      <c r="I290" s="42">
        <f t="shared" si="13"/>
        <v>69755.349999999991</v>
      </c>
      <c r="J290" s="42">
        <f t="shared" si="13"/>
        <v>55821.22</v>
      </c>
      <c r="K290" s="42">
        <f t="shared" si="13"/>
        <v>13263.76</v>
      </c>
      <c r="L290" s="41">
        <f t="shared" si="13"/>
        <v>428779.11000000004</v>
      </c>
      <c r="M290" s="8"/>
      <c r="N290" s="271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.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6" t="s">
        <v>692</v>
      </c>
      <c r="G292" s="176" t="s">
        <v>693</v>
      </c>
      <c r="H292" s="176" t="s">
        <v>694</v>
      </c>
      <c r="I292" s="176" t="s">
        <v>695</v>
      </c>
      <c r="J292" s="176" t="s">
        <v>696</v>
      </c>
      <c r="K292" s="176" t="s">
        <v>697</v>
      </c>
      <c r="L292" s="17"/>
      <c r="M292" s="8"/>
      <c r="N292" s="271"/>
    </row>
    <row r="293" spans="1:14" s="3" customFormat="1" ht="12.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.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.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v>1309.8499999999999</v>
      </c>
      <c r="J295" s="18">
        <v>16532.48</v>
      </c>
      <c r="K295" s="18"/>
      <c r="L295" s="19">
        <f>SUM(F295:K295)</f>
        <v>17842.329999999998</v>
      </c>
      <c r="M295" s="8"/>
      <c r="N295" s="271"/>
    </row>
    <row r="296" spans="1:14" s="3" customFormat="1" ht="12.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.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.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.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.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>
        <v>115.2</v>
      </c>
      <c r="J300" s="18"/>
      <c r="K300" s="18"/>
      <c r="L300" s="19">
        <f t="shared" ref="L300:L306" si="14">SUM(F300:K300)</f>
        <v>115.2</v>
      </c>
      <c r="M300" s="8"/>
      <c r="N300" s="271"/>
    </row>
    <row r="301" spans="1:14" s="3" customFormat="1" ht="12.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v>6255.74</v>
      </c>
      <c r="I301" s="18">
        <v>1935.15</v>
      </c>
      <c r="J301" s="18"/>
      <c r="K301" s="18"/>
      <c r="L301" s="19">
        <f t="shared" si="14"/>
        <v>8190.8899999999994</v>
      </c>
      <c r="M301" s="8"/>
      <c r="N301" s="271"/>
    </row>
    <row r="302" spans="1:14" s="3" customFormat="1" ht="12.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.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.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.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.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.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>
        <v>3887.96</v>
      </c>
      <c r="L307" s="19">
        <f>SUM(F307:K307)</f>
        <v>3887.96</v>
      </c>
      <c r="M307" s="8"/>
      <c r="N307" s="271"/>
    </row>
    <row r="308" spans="1:14" s="3" customFormat="1" ht="12.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.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6255.74</v>
      </c>
      <c r="I309" s="42">
        <f t="shared" si="15"/>
        <v>3360.2</v>
      </c>
      <c r="J309" s="42">
        <f t="shared" si="15"/>
        <v>16532.48</v>
      </c>
      <c r="K309" s="42">
        <f t="shared" si="15"/>
        <v>3887.96</v>
      </c>
      <c r="L309" s="41">
        <f t="shared" si="15"/>
        <v>30036.379999999997</v>
      </c>
      <c r="N309" s="269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.2" customHeight="1" x14ac:dyDescent="0.2">
      <c r="A311" s="29" t="s">
        <v>466</v>
      </c>
      <c r="B311"/>
      <c r="C311"/>
      <c r="D311"/>
      <c r="E311"/>
      <c r="F311" s="176" t="s">
        <v>692</v>
      </c>
      <c r="G311" s="176" t="s">
        <v>693</v>
      </c>
      <c r="H311" s="176" t="s">
        <v>694</v>
      </c>
      <c r="I311" s="176" t="s">
        <v>695</v>
      </c>
      <c r="J311" s="176" t="s">
        <v>696</v>
      </c>
      <c r="K311" s="176" t="s">
        <v>697</v>
      </c>
      <c r="L311" s="20"/>
      <c r="M311" s="8"/>
      <c r="N311" s="271"/>
    </row>
    <row r="312" spans="1:14" s="3" customFormat="1" ht="12.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.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.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1815.69</v>
      </c>
      <c r="G314" s="18">
        <v>434.31</v>
      </c>
      <c r="H314" s="18"/>
      <c r="I314" s="18">
        <v>545.80999999999995</v>
      </c>
      <c r="J314" s="18">
        <v>39719.800000000003</v>
      </c>
      <c r="K314" s="18"/>
      <c r="L314" s="19">
        <f>SUM(F314:K314)</f>
        <v>42515.61</v>
      </c>
      <c r="M314" s="8"/>
      <c r="N314" s="271"/>
    </row>
    <row r="315" spans="1:14" s="3" customFormat="1" ht="12.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171290.9</v>
      </c>
      <c r="G315" s="18">
        <v>97562.97</v>
      </c>
      <c r="H315" s="18"/>
      <c r="I315" s="18"/>
      <c r="J315" s="18"/>
      <c r="K315" s="18"/>
      <c r="L315" s="19">
        <f>SUM(F315:K315)</f>
        <v>268853.87</v>
      </c>
      <c r="M315" s="8"/>
      <c r="N315" s="271"/>
    </row>
    <row r="316" spans="1:14" s="3" customFormat="1" ht="12.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.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.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.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95163.67</v>
      </c>
      <c r="G319" s="18">
        <v>19949.05</v>
      </c>
      <c r="H319" s="18">
        <v>1920.99</v>
      </c>
      <c r="I319" s="18">
        <v>153.6</v>
      </c>
      <c r="J319" s="18"/>
      <c r="K319" s="18"/>
      <c r="L319" s="19">
        <f t="shared" ref="L319:L325" si="16">SUM(F319:K319)</f>
        <v>117187.31000000001</v>
      </c>
      <c r="M319" s="8"/>
      <c r="N319" s="271"/>
    </row>
    <row r="320" spans="1:14" s="3" customFormat="1" ht="12.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50051.75</v>
      </c>
      <c r="G320" s="18">
        <v>9388.43</v>
      </c>
      <c r="H320" s="18">
        <v>8623.91</v>
      </c>
      <c r="I320" s="18">
        <v>2611.9499999999998</v>
      </c>
      <c r="J320" s="18"/>
      <c r="K320" s="18"/>
      <c r="L320" s="19">
        <f t="shared" si="16"/>
        <v>70676.039999999994</v>
      </c>
      <c r="M320" s="8"/>
      <c r="N320" s="271"/>
    </row>
    <row r="321" spans="1:14" s="3" customFormat="1" ht="12.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.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.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.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.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.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>
        <v>6824.81</v>
      </c>
      <c r="L326" s="19">
        <f>SUM(F326:K326)</f>
        <v>6824.81</v>
      </c>
      <c r="M326" s="8"/>
      <c r="N326" s="271"/>
    </row>
    <row r="327" spans="1:14" s="3" customFormat="1" ht="12.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.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318322.01</v>
      </c>
      <c r="G328" s="42">
        <f t="shared" si="17"/>
        <v>127334.76000000001</v>
      </c>
      <c r="H328" s="42">
        <f t="shared" si="17"/>
        <v>10544.9</v>
      </c>
      <c r="I328" s="42">
        <f t="shared" si="17"/>
        <v>3311.3599999999997</v>
      </c>
      <c r="J328" s="42">
        <f t="shared" si="17"/>
        <v>39719.800000000003</v>
      </c>
      <c r="K328" s="42">
        <f t="shared" si="17"/>
        <v>6824.81</v>
      </c>
      <c r="L328" s="41">
        <f t="shared" si="17"/>
        <v>506057.63999999996</v>
      </c>
      <c r="M328" s="8"/>
      <c r="N328" s="271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.2" customHeight="1" x14ac:dyDescent="0.15">
      <c r="A330" s="29" t="s">
        <v>360</v>
      </c>
      <c r="B330" s="2"/>
      <c r="C330" s="6"/>
      <c r="D330" s="6"/>
      <c r="E330" s="6"/>
      <c r="F330" s="176" t="s">
        <v>692</v>
      </c>
      <c r="G330" s="176" t="s">
        <v>693</v>
      </c>
      <c r="H330" s="176" t="s">
        <v>694</v>
      </c>
      <c r="I330" s="176" t="s">
        <v>695</v>
      </c>
      <c r="J330" s="176" t="s">
        <v>696</v>
      </c>
      <c r="K330" s="176" t="s">
        <v>697</v>
      </c>
      <c r="L330" s="19"/>
      <c r="M330" s="8"/>
      <c r="N330" s="271"/>
    </row>
    <row r="331" spans="1:14" s="3" customFormat="1" ht="12.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.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.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.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.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.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.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.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515056.37</v>
      </c>
      <c r="G338" s="41">
        <f t="shared" si="20"/>
        <v>177106.56</v>
      </c>
      <c r="H338" s="41">
        <f t="shared" si="20"/>
        <v>60233.259999999995</v>
      </c>
      <c r="I338" s="41">
        <f t="shared" si="20"/>
        <v>76426.909999999989</v>
      </c>
      <c r="J338" s="41">
        <f t="shared" si="20"/>
        <v>112073.5</v>
      </c>
      <c r="K338" s="41">
        <f t="shared" si="20"/>
        <v>23976.530000000002</v>
      </c>
      <c r="L338" s="41">
        <f t="shared" si="20"/>
        <v>964873.13</v>
      </c>
      <c r="M338" s="8"/>
      <c r="N338" s="271"/>
    </row>
    <row r="339" spans="1:43" s="3" customFormat="1" ht="12.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.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.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1"/>
    </row>
    <row r="342" spans="1:43" s="3" customFormat="1" ht="12.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1"/>
    </row>
    <row r="343" spans="1:43" s="12" customFormat="1" ht="12.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.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1"/>
    </row>
    <row r="346" spans="1:43" s="3" customFormat="1" ht="12.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1"/>
    </row>
    <row r="347" spans="1:43" s="3" customFormat="1" ht="12.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1"/>
    </row>
    <row r="348" spans="1:43" s="3" customFormat="1" ht="12.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.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1"/>
    </row>
    <row r="350" spans="1:43" s="3" customFormat="1" ht="12.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1"/>
    </row>
    <row r="351" spans="1:43" s="3" customFormat="1" ht="12.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.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515056.37</v>
      </c>
      <c r="G352" s="41">
        <f>G338</f>
        <v>177106.56</v>
      </c>
      <c r="H352" s="41">
        <f>H338</f>
        <v>60233.259999999995</v>
      </c>
      <c r="I352" s="41">
        <f>I338</f>
        <v>76426.909999999989</v>
      </c>
      <c r="J352" s="41">
        <f>J338</f>
        <v>112073.5</v>
      </c>
      <c r="K352" s="47">
        <f>K338+K351</f>
        <v>23976.530000000002</v>
      </c>
      <c r="L352" s="41">
        <f>L338+L351</f>
        <v>964873.13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.2" customHeight="1" x14ac:dyDescent="0.2">
      <c r="A354" s="54"/>
      <c r="B354" s="52"/>
      <c r="C354" s="52"/>
      <c r="D354" s="52"/>
      <c r="E354" s="52"/>
      <c r="F354" s="176" t="s">
        <v>692</v>
      </c>
      <c r="G354" s="176" t="s">
        <v>693</v>
      </c>
      <c r="H354" s="176" t="s">
        <v>694</v>
      </c>
      <c r="I354" s="176" t="s">
        <v>695</v>
      </c>
      <c r="J354" s="176" t="s">
        <v>696</v>
      </c>
      <c r="K354" s="176" t="s">
        <v>697</v>
      </c>
      <c r="L354" s="53"/>
      <c r="M354" s="8"/>
      <c r="N354" s="271"/>
    </row>
    <row r="355" spans="1:22" s="3" customFormat="1" ht="12.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.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.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.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257371.14</v>
      </c>
      <c r="I358" s="18">
        <v>14455.92</v>
      </c>
      <c r="J358" s="18">
        <v>1820</v>
      </c>
      <c r="K358" s="18">
        <v>79.239999999999995</v>
      </c>
      <c r="L358" s="13">
        <f>SUM(F358:K358)</f>
        <v>273726.3</v>
      </c>
      <c r="N358" s="269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v>142647.03</v>
      </c>
      <c r="I359" s="18">
        <v>8088.47</v>
      </c>
      <c r="J359" s="18"/>
      <c r="K359" s="18">
        <v>11.38</v>
      </c>
      <c r="L359" s="19">
        <f>SUM(F359:K359)</f>
        <v>150746.88</v>
      </c>
      <c r="M359" s="8"/>
      <c r="N359" s="271"/>
    </row>
    <row r="360" spans="1:22" s="3" customFormat="1" ht="12.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185141.49</v>
      </c>
      <c r="I360" s="18">
        <v>10449.06</v>
      </c>
      <c r="J360" s="18">
        <v>2599.65</v>
      </c>
      <c r="K360" s="18"/>
      <c r="L360" s="19">
        <f>SUM(F360:K360)</f>
        <v>198190.19999999998</v>
      </c>
      <c r="M360" s="8"/>
      <c r="N360" s="271"/>
    </row>
    <row r="361" spans="1:22" s="3" customFormat="1" ht="12.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3245.11</v>
      </c>
      <c r="L361" s="13">
        <f>SUM(F361:K361)</f>
        <v>3245.11</v>
      </c>
      <c r="M361" s="8"/>
      <c r="N361" s="271"/>
    </row>
    <row r="362" spans="1:22" s="3" customFormat="1" ht="12.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585159.66</v>
      </c>
      <c r="I362" s="47">
        <f t="shared" si="22"/>
        <v>32993.449999999997</v>
      </c>
      <c r="J362" s="47">
        <f t="shared" si="22"/>
        <v>4419.6499999999996</v>
      </c>
      <c r="K362" s="47">
        <f t="shared" si="22"/>
        <v>3335.73</v>
      </c>
      <c r="L362" s="47">
        <f t="shared" si="22"/>
        <v>625908.49</v>
      </c>
      <c r="M362" s="8"/>
      <c r="N362" s="271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.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.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14455.92</v>
      </c>
      <c r="G367" s="18">
        <v>8088.47</v>
      </c>
      <c r="H367" s="18">
        <v>10449.06</v>
      </c>
      <c r="I367" s="56">
        <f>SUM(F367:H367)</f>
        <v>32993.449999999997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.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.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14455.92</v>
      </c>
      <c r="G369" s="47">
        <f>SUM(G367:G368)</f>
        <v>8088.47</v>
      </c>
      <c r="H369" s="47">
        <f>SUM(H367:H368)</f>
        <v>10449.06</v>
      </c>
      <c r="I369" s="47">
        <f>SUM(I367:I368)</f>
        <v>32993.449999999997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.2" customHeight="1" x14ac:dyDescent="0.15">
      <c r="A371" s="34" t="s">
        <v>283</v>
      </c>
      <c r="B371" s="2"/>
      <c r="C371" s="2"/>
      <c r="D371" s="2"/>
      <c r="E371" s="2"/>
      <c r="F371" s="176" t="s">
        <v>692</v>
      </c>
      <c r="G371" s="176" t="s">
        <v>693</v>
      </c>
      <c r="H371" s="176" t="s">
        <v>694</v>
      </c>
      <c r="I371" s="176" t="s">
        <v>695</v>
      </c>
      <c r="J371" s="176" t="s">
        <v>696</v>
      </c>
      <c r="K371" s="176" t="s">
        <v>697</v>
      </c>
      <c r="L371" s="13"/>
      <c r="M371" s="8"/>
      <c r="N371" s="271"/>
    </row>
    <row r="372" spans="1:14" s="3" customFormat="1" ht="12.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.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.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.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.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.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.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.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.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.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1"/>
    </row>
    <row r="382" spans="1:14" s="3" customFormat="1" ht="12.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1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.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.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.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.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1"/>
    </row>
    <row r="388" spans="1:14" s="3" customFormat="1" ht="12.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1"/>
    </row>
    <row r="389" spans="1:14" s="3" customFormat="1" ht="12.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1"/>
    </row>
    <row r="390" spans="1:14" s="3" customFormat="1" ht="12.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.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1"/>
    </row>
    <row r="392" spans="1:14" s="3" customFormat="1" ht="12.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1"/>
    </row>
    <row r="393" spans="1:14" s="3" customFormat="1" ht="12.2" customHeight="1" thickTop="1" x14ac:dyDescent="0.15">
      <c r="A393" s="159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1"/>
    </row>
    <row r="394" spans="1:14" s="3" customFormat="1" ht="12.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.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.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281">
        <v>50000</v>
      </c>
      <c r="H396" s="281">
        <f>1396.56+4834.1+766.5</f>
        <v>6997.16</v>
      </c>
      <c r="I396" s="281"/>
      <c r="J396" s="24" t="s">
        <v>288</v>
      </c>
      <c r="K396" s="24" t="s">
        <v>288</v>
      </c>
      <c r="L396" s="56">
        <f t="shared" si="26"/>
        <v>56997.16</v>
      </c>
      <c r="M396" s="8"/>
      <c r="N396" s="271"/>
    </row>
    <row r="397" spans="1:14" s="3" customFormat="1" ht="12.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281">
        <v>25000</v>
      </c>
      <c r="H397" s="281">
        <f>1026.45+1162.93</f>
        <v>2189.38</v>
      </c>
      <c r="I397" s="281"/>
      <c r="J397" s="24" t="s">
        <v>288</v>
      </c>
      <c r="K397" s="24" t="s">
        <v>288</v>
      </c>
      <c r="L397" s="56">
        <f t="shared" si="26"/>
        <v>27189.38</v>
      </c>
      <c r="M397" s="8"/>
      <c r="N397" s="271"/>
    </row>
    <row r="398" spans="1:14" s="3" customFormat="1" ht="12.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281"/>
      <c r="H398" s="281"/>
      <c r="I398" s="281"/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.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281"/>
      <c r="H399" s="281"/>
      <c r="I399" s="281"/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.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281"/>
      <c r="H400" s="281"/>
      <c r="I400" s="281">
        <v>37543.870000000003</v>
      </c>
      <c r="J400" s="24" t="s">
        <v>288</v>
      </c>
      <c r="K400" s="24" t="s">
        <v>288</v>
      </c>
      <c r="L400" s="56">
        <f t="shared" si="26"/>
        <v>37543.870000000003</v>
      </c>
      <c r="M400" s="8"/>
      <c r="N400" s="271"/>
    </row>
    <row r="401" spans="1:21" s="3" customFormat="1" ht="12.2" customHeight="1" thickTop="1" x14ac:dyDescent="0.15">
      <c r="A401" s="159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9186.5400000000009</v>
      </c>
      <c r="I401" s="47">
        <f>SUM(I395:I400)</f>
        <v>37543.870000000003</v>
      </c>
      <c r="J401" s="45" t="s">
        <v>288</v>
      </c>
      <c r="K401" s="45" t="s">
        <v>288</v>
      </c>
      <c r="L401" s="47">
        <f>SUM(L395:L400)</f>
        <v>121730.41</v>
      </c>
      <c r="M401" s="8"/>
      <c r="N401" s="271"/>
    </row>
    <row r="402" spans="1:21" s="3" customFormat="1" ht="12.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.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.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.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.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.2" customHeight="1" thickTop="1" thickBot="1" x14ac:dyDescent="0.2">
      <c r="A407" s="159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.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9186.5400000000009</v>
      </c>
      <c r="I408" s="47">
        <f>I393+I401+I407</f>
        <v>37543.870000000003</v>
      </c>
      <c r="J408" s="24" t="s">
        <v>288</v>
      </c>
      <c r="K408" s="24" t="s">
        <v>288</v>
      </c>
      <c r="L408" s="47">
        <f>L393+L401+L407</f>
        <v>121730.41</v>
      </c>
      <c r="M408" s="8"/>
      <c r="N408" s="271"/>
    </row>
    <row r="409" spans="1:21" s="3" customFormat="1" ht="12.2" customHeight="1" x14ac:dyDescent="0.15">
      <c r="A409" s="78"/>
      <c r="B409" s="2"/>
      <c r="C409" s="6"/>
      <c r="D409" s="6"/>
      <c r="E409" s="6"/>
      <c r="F409" s="176" t="s">
        <v>692</v>
      </c>
      <c r="G409" s="176" t="s">
        <v>693</v>
      </c>
      <c r="H409" s="176" t="s">
        <v>694</v>
      </c>
      <c r="I409" s="176" t="s">
        <v>695</v>
      </c>
      <c r="J409" s="176" t="s">
        <v>696</v>
      </c>
      <c r="K409" s="176" t="s">
        <v>697</v>
      </c>
      <c r="L409" s="56"/>
      <c r="M409" s="8"/>
      <c r="N409" s="271"/>
    </row>
    <row r="410" spans="1:21" s="3" customFormat="1" ht="12.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.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.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.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.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.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.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.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.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.2" customHeight="1" thickTop="1" x14ac:dyDescent="0.15">
      <c r="A419" s="159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1"/>
    </row>
    <row r="420" spans="1:21" s="3" customFormat="1" ht="12.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.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.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.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.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.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.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33128.57</v>
      </c>
      <c r="L426" s="56">
        <f t="shared" si="29"/>
        <v>33128.57</v>
      </c>
      <c r="M426" s="8"/>
      <c r="N426" s="271"/>
    </row>
    <row r="427" spans="1:21" s="3" customFormat="1" ht="12.2" customHeight="1" thickTop="1" x14ac:dyDescent="0.15">
      <c r="A427" s="159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33128.57</v>
      </c>
      <c r="L427" s="47">
        <f t="shared" si="30"/>
        <v>33128.57</v>
      </c>
      <c r="M427" s="8"/>
      <c r="N427" s="271"/>
    </row>
    <row r="428" spans="1:21" s="11" customFormat="1" ht="12.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.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.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.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.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.2" customHeight="1" thickTop="1" thickBot="1" x14ac:dyDescent="0.2">
      <c r="A433" s="159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.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33128.57</v>
      </c>
      <c r="L434" s="47">
        <f t="shared" si="32"/>
        <v>33128.57</v>
      </c>
      <c r="M434" s="8"/>
      <c r="N434" s="271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.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.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1975827.07</v>
      </c>
      <c r="G440" s="18"/>
      <c r="H440" s="18"/>
      <c r="I440" s="56">
        <f t="shared" si="33"/>
        <v>1975827.07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.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2</v>
      </c>
      <c r="G441" s="18"/>
      <c r="H441" s="18"/>
      <c r="I441" s="56">
        <f t="shared" si="33"/>
        <v>2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.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.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.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.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.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1975829.07</v>
      </c>
      <c r="G446" s="13">
        <f>SUM(G439:G445)</f>
        <v>0</v>
      </c>
      <c r="H446" s="13">
        <f>SUM(H439:H445)</f>
        <v>0</v>
      </c>
      <c r="I446" s="13">
        <f>SUM(I439:I445)</f>
        <v>1975829.07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.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5000</v>
      </c>
      <c r="G448" s="18"/>
      <c r="H448" s="18"/>
      <c r="I448" s="56">
        <f>SUM(F448:H448)</f>
        <v>5000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.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.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.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.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5000</v>
      </c>
      <c r="G452" s="72">
        <f>SUM(G448:G451)</f>
        <v>0</v>
      </c>
      <c r="H452" s="72">
        <f>SUM(H448:H451)</f>
        <v>0</v>
      </c>
      <c r="I452" s="72">
        <f>SUM(I448:I451)</f>
        <v>5000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.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.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.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.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6"/>
      <c r="O457" s="58"/>
      <c r="P457" s="58"/>
    </row>
    <row r="458" spans="1:23" s="12" customFormat="1" ht="12.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1882227.23+88601.84</f>
        <v>1970829.07</v>
      </c>
      <c r="G459" s="18"/>
      <c r="H459" s="18"/>
      <c r="I459" s="56">
        <f t="shared" si="34"/>
        <v>1970829.07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1970829.07</v>
      </c>
      <c r="G460" s="83">
        <f>SUM(G454:G459)</f>
        <v>0</v>
      </c>
      <c r="H460" s="83">
        <f>SUM(H454:H459)</f>
        <v>0</v>
      </c>
      <c r="I460" s="83">
        <f>SUM(I454:I459)</f>
        <v>1970829.07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.2" customHeight="1" thickTop="1" x14ac:dyDescent="0.2">
      <c r="A461" s="91" t="s">
        <v>424</v>
      </c>
      <c r="B461" s="44">
        <v>18</v>
      </c>
      <c r="C461" s="82">
        <v>21</v>
      </c>
      <c r="D461" s="156" t="s">
        <v>432</v>
      </c>
      <c r="E461" s="82"/>
      <c r="F461" s="42">
        <f>F452+F460</f>
        <v>1975829.07</v>
      </c>
      <c r="G461" s="42">
        <f>G452+G460</f>
        <v>0</v>
      </c>
      <c r="H461" s="42">
        <f>H452+H460</f>
        <v>0</v>
      </c>
      <c r="I461" s="42">
        <f>I452+I460</f>
        <v>1975829.07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.2" customHeight="1" x14ac:dyDescent="0.2">
      <c r="A465" s="188" t="s">
        <v>903</v>
      </c>
      <c r="B465" s="105">
        <v>19</v>
      </c>
      <c r="C465" s="111">
        <v>1</v>
      </c>
      <c r="D465" s="2" t="s">
        <v>432</v>
      </c>
      <c r="E465" s="111"/>
      <c r="F465" s="274">
        <f>F51-F468+F472</f>
        <v>2983333.299999997</v>
      </c>
      <c r="G465" s="274">
        <f t="shared" ref="G465:J465" si="35">G51-G468+G472</f>
        <v>18497.380000000005</v>
      </c>
      <c r="H465" s="274">
        <f t="shared" si="35"/>
        <v>0</v>
      </c>
      <c r="I465" s="274">
        <f t="shared" si="35"/>
        <v>105423.03</v>
      </c>
      <c r="J465" s="274">
        <f t="shared" si="35"/>
        <v>1882227.2300000002</v>
      </c>
      <c r="K465" s="24" t="s">
        <v>288</v>
      </c>
      <c r="L465" s="24" t="s">
        <v>288</v>
      </c>
      <c r="N465" s="270"/>
    </row>
    <row r="466" spans="1:14" s="52" customFormat="1" ht="12.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.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.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38671380.700000003</v>
      </c>
      <c r="G468" s="274">
        <f t="shared" ref="G468:J468" si="36">G193</f>
        <v>625908.49</v>
      </c>
      <c r="H468" s="274">
        <f t="shared" si="36"/>
        <v>964873.13</v>
      </c>
      <c r="I468" s="274">
        <f t="shared" si="36"/>
        <v>1028.47</v>
      </c>
      <c r="J468" s="274">
        <f t="shared" si="36"/>
        <v>121730.41</v>
      </c>
      <c r="K468" s="24" t="s">
        <v>288</v>
      </c>
      <c r="L468" s="24" t="s">
        <v>288</v>
      </c>
      <c r="N468" s="270"/>
    </row>
    <row r="469" spans="1:14" s="52" customFormat="1" ht="12.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0"/>
    </row>
    <row r="470" spans="1:14" s="52" customFormat="1" ht="12.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38671380.700000003</v>
      </c>
      <c r="G470" s="53">
        <f>SUM(G468:G469)</f>
        <v>625908.49</v>
      </c>
      <c r="H470" s="53">
        <f>SUM(H468:H469)</f>
        <v>964873.13</v>
      </c>
      <c r="I470" s="53">
        <f>SUM(I468:I469)</f>
        <v>1028.47</v>
      </c>
      <c r="J470" s="53">
        <f>SUM(J468:J469)</f>
        <v>121730.41</v>
      </c>
      <c r="K470" s="24" t="s">
        <v>288</v>
      </c>
      <c r="L470" s="24" t="s">
        <v>288</v>
      </c>
      <c r="N470" s="270"/>
    </row>
    <row r="471" spans="1:14" s="52" customFormat="1" ht="12.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.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37486293.810000002</v>
      </c>
      <c r="G472" s="274">
        <f>L362</f>
        <v>625908.49</v>
      </c>
      <c r="H472" s="274">
        <f>L352</f>
        <v>964873.13</v>
      </c>
      <c r="I472" s="274">
        <f>L382</f>
        <v>0</v>
      </c>
      <c r="J472" s="274">
        <f>L434</f>
        <v>33128.57</v>
      </c>
      <c r="K472" s="24" t="s">
        <v>288</v>
      </c>
      <c r="L472" s="24" t="s">
        <v>288</v>
      </c>
      <c r="N472" s="270"/>
    </row>
    <row r="473" spans="1:14" s="52" customFormat="1" ht="12.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0"/>
    </row>
    <row r="474" spans="1:14" s="52" customFormat="1" ht="12.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37486293.810000002</v>
      </c>
      <c r="G474" s="53">
        <f>SUM(G472:G473)</f>
        <v>625908.49</v>
      </c>
      <c r="H474" s="53">
        <f>SUM(H472:H473)</f>
        <v>964873.13</v>
      </c>
      <c r="I474" s="53">
        <f>SUM(I472:I473)</f>
        <v>0</v>
      </c>
      <c r="J474" s="53">
        <f>SUM(J472:J473)</f>
        <v>33128.57</v>
      </c>
      <c r="K474" s="24" t="s">
        <v>288</v>
      </c>
      <c r="L474" s="24" t="s">
        <v>288</v>
      </c>
      <c r="N474" s="270"/>
    </row>
    <row r="475" spans="1:14" s="52" customFormat="1" ht="12.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.2" customHeight="1" x14ac:dyDescent="0.2">
      <c r="A476" s="189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4168420.1899999976</v>
      </c>
      <c r="G476" s="53">
        <f>(G465+G470)- G474</f>
        <v>18497.380000000005</v>
      </c>
      <c r="H476" s="53">
        <f>(H465+H470)- H474</f>
        <v>0</v>
      </c>
      <c r="I476" s="53">
        <f>(I465+I470)- I474</f>
        <v>106451.5</v>
      </c>
      <c r="J476" s="53">
        <f>(J465+J470)- J474</f>
        <v>1970829.07</v>
      </c>
      <c r="K476" s="24" t="s">
        <v>288</v>
      </c>
      <c r="L476" s="24" t="s">
        <v>288</v>
      </c>
      <c r="N476" s="270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.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.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.2" customHeight="1" x14ac:dyDescent="0.2">
      <c r="A481" s="174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.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.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.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.2" customHeight="1" x14ac:dyDescent="0.2">
      <c r="A485" s="173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.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276">
        <v>20</v>
      </c>
      <c r="G490" s="276">
        <v>15</v>
      </c>
      <c r="H490" s="154"/>
      <c r="I490" s="154"/>
      <c r="J490" s="154"/>
      <c r="K490" s="24" t="s">
        <v>288</v>
      </c>
      <c r="L490" s="24" t="s">
        <v>288</v>
      </c>
      <c r="N490" s="270"/>
    </row>
    <row r="491" spans="1:14" s="52" customFormat="1" ht="12.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277" t="s">
        <v>912</v>
      </c>
      <c r="G491" s="280" t="s">
        <v>913</v>
      </c>
      <c r="H491" s="154"/>
      <c r="I491" s="154"/>
      <c r="J491" s="154"/>
      <c r="K491" s="24" t="s">
        <v>288</v>
      </c>
      <c r="L491" s="24" t="s">
        <v>288</v>
      </c>
      <c r="N491" s="270"/>
    </row>
    <row r="492" spans="1:14" s="52" customFormat="1" ht="12.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277" t="s">
        <v>914</v>
      </c>
      <c r="G492" s="279" t="s">
        <v>915</v>
      </c>
      <c r="H492" s="154"/>
      <c r="I492" s="154"/>
      <c r="J492" s="154"/>
      <c r="K492" s="24" t="s">
        <v>288</v>
      </c>
      <c r="L492" s="24" t="s">
        <v>288</v>
      </c>
      <c r="N492" s="270"/>
    </row>
    <row r="493" spans="1:14" s="52" customFormat="1" ht="12.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275">
        <v>24450150</v>
      </c>
      <c r="G493" s="275">
        <v>2231283</v>
      </c>
      <c r="H493" s="18"/>
      <c r="I493" s="18"/>
      <c r="J493" s="18"/>
      <c r="K493" s="24" t="s">
        <v>288</v>
      </c>
      <c r="L493" s="24" t="s">
        <v>288</v>
      </c>
      <c r="N493" s="270"/>
    </row>
    <row r="494" spans="1:14" s="52" customFormat="1" ht="12.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275">
        <v>4.6100000000000003</v>
      </c>
      <c r="G494" s="275">
        <v>4.375</v>
      </c>
      <c r="H494" s="18"/>
      <c r="I494" s="18"/>
      <c r="J494" s="18"/>
      <c r="K494" s="24" t="s">
        <v>288</v>
      </c>
      <c r="L494" s="24" t="s">
        <v>288</v>
      </c>
      <c r="N494" s="270"/>
    </row>
    <row r="495" spans="1:14" s="52" customFormat="1" ht="12.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275">
        <v>10357141.85</v>
      </c>
      <c r="G495" s="275">
        <v>1487522</v>
      </c>
      <c r="H495" s="18"/>
      <c r="I495" s="18"/>
      <c r="J495" s="18"/>
      <c r="K495" s="53">
        <f>SUM(F495:J495)</f>
        <v>11844663.85</v>
      </c>
      <c r="L495" s="24" t="s">
        <v>288</v>
      </c>
      <c r="N495" s="270"/>
    </row>
    <row r="496" spans="1:14" s="52" customFormat="1" ht="12.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275"/>
      <c r="G496" s="275"/>
      <c r="H496" s="18"/>
      <c r="I496" s="18"/>
      <c r="J496" s="18"/>
      <c r="K496" s="53">
        <f t="shared" ref="K496:K503" si="37">SUM(F496:J496)</f>
        <v>0</v>
      </c>
      <c r="L496" s="24" t="s">
        <v>288</v>
      </c>
      <c r="N496" s="270"/>
    </row>
    <row r="497" spans="1:14" s="52" customFormat="1" ht="12.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275">
        <v>1173532.43</v>
      </c>
      <c r="G497" s="275">
        <v>148752.20000000001</v>
      </c>
      <c r="H497" s="18"/>
      <c r="I497" s="18"/>
      <c r="J497" s="18"/>
      <c r="K497" s="53">
        <f t="shared" si="37"/>
        <v>1322284.6299999999</v>
      </c>
      <c r="L497" s="24" t="s">
        <v>288</v>
      </c>
      <c r="N497" s="270"/>
    </row>
    <row r="498" spans="1:14" s="52" customFormat="1" ht="12.2" customHeight="1" x14ac:dyDescent="0.2">
      <c r="A498" s="199" t="s">
        <v>625</v>
      </c>
      <c r="B498" s="200">
        <v>20</v>
      </c>
      <c r="C498" s="201">
        <v>9</v>
      </c>
      <c r="D498" s="202" t="s">
        <v>432</v>
      </c>
      <c r="E498" s="201"/>
      <c r="F498" s="203">
        <f>F495-F497</f>
        <v>9183609.4199999999</v>
      </c>
      <c r="G498" s="278">
        <f>G495-G497</f>
        <v>1338769.8</v>
      </c>
      <c r="H498" s="203"/>
      <c r="I498" s="203"/>
      <c r="J498" s="203"/>
      <c r="K498" s="204">
        <f t="shared" si="37"/>
        <v>10522379.220000001</v>
      </c>
      <c r="L498" s="205" t="s">
        <v>288</v>
      </c>
      <c r="N498" s="270"/>
    </row>
    <row r="499" spans="1:14" s="52" customFormat="1" ht="12.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8843765.6099999994</v>
      </c>
      <c r="G499" s="18">
        <v>263472.27</v>
      </c>
      <c r="H499" s="18"/>
      <c r="I499" s="18"/>
      <c r="J499" s="18"/>
      <c r="K499" s="53">
        <f t="shared" si="37"/>
        <v>9107237.879999999</v>
      </c>
      <c r="L499" s="24" t="s">
        <v>288</v>
      </c>
      <c r="N499" s="270"/>
    </row>
    <row r="500" spans="1:14" s="52" customFormat="1" ht="12.2" customHeight="1" thickTop="1" x14ac:dyDescent="0.2">
      <c r="A500" s="139" t="s">
        <v>627</v>
      </c>
      <c r="B500" s="44">
        <v>20</v>
      </c>
      <c r="C500" s="194">
        <v>11</v>
      </c>
      <c r="D500" s="39" t="s">
        <v>432</v>
      </c>
      <c r="E500" s="194"/>
      <c r="F500" s="42">
        <f>SUM(F498:F499)</f>
        <v>18027375.030000001</v>
      </c>
      <c r="G500" s="42">
        <f>SUM(G498:G499)</f>
        <v>1602242.07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7"/>
        <v>19629617.100000001</v>
      </c>
      <c r="L500" s="45" t="s">
        <v>288</v>
      </c>
      <c r="N500" s="270"/>
    </row>
    <row r="501" spans="1:14" s="52" customFormat="1" ht="12.2" customHeight="1" x14ac:dyDescent="0.2">
      <c r="A501" s="199" t="s">
        <v>654</v>
      </c>
      <c r="B501" s="200">
        <v>20</v>
      </c>
      <c r="C501" s="201">
        <v>12</v>
      </c>
      <c r="D501" s="202" t="s">
        <v>432</v>
      </c>
      <c r="E501" s="201"/>
      <c r="F501" s="203">
        <f>906115.18+164471.6</f>
        <v>1070586.78</v>
      </c>
      <c r="G501" s="203">
        <v>148752.20000000001</v>
      </c>
      <c r="H501" s="203"/>
      <c r="I501" s="203"/>
      <c r="J501" s="203"/>
      <c r="K501" s="204">
        <f t="shared" si="37"/>
        <v>1219338.98</v>
      </c>
      <c r="L501" s="205" t="s">
        <v>288</v>
      </c>
      <c r="N501" s="270"/>
    </row>
    <row r="502" spans="1:14" s="52" customFormat="1" ht="12.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666821.07+131889.65</f>
        <v>798710.72</v>
      </c>
      <c r="G502" s="18">
        <f>29044.89+26245.59</f>
        <v>55290.479999999996</v>
      </c>
      <c r="H502" s="18"/>
      <c r="I502" s="18"/>
      <c r="J502" s="18"/>
      <c r="K502" s="53">
        <f t="shared" si="37"/>
        <v>854001.2</v>
      </c>
      <c r="L502" s="24" t="s">
        <v>288</v>
      </c>
      <c r="N502" s="270"/>
    </row>
    <row r="503" spans="1:14" s="52" customFormat="1" ht="12.2" customHeight="1" thickTop="1" x14ac:dyDescent="0.2">
      <c r="A503" s="139" t="s">
        <v>629</v>
      </c>
      <c r="B503" s="44">
        <v>20</v>
      </c>
      <c r="C503" s="194">
        <v>14</v>
      </c>
      <c r="D503" s="39" t="s">
        <v>432</v>
      </c>
      <c r="E503" s="194"/>
      <c r="F503" s="42">
        <f>SUM(F501:F502)</f>
        <v>1869297.5</v>
      </c>
      <c r="G503" s="42">
        <f>SUM(G501:G502)</f>
        <v>204042.68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7"/>
        <v>2073340.18</v>
      </c>
      <c r="L503" s="45" t="s">
        <v>288</v>
      </c>
      <c r="N503" s="270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.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.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.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.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.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.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.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.2" customHeight="1" x14ac:dyDescent="0.2">
      <c r="A518" s="96" t="s">
        <v>701</v>
      </c>
      <c r="B518" s="105"/>
      <c r="C518" s="115"/>
      <c r="D518" s="115"/>
      <c r="E518" s="115"/>
      <c r="F518" s="176" t="s">
        <v>692</v>
      </c>
      <c r="G518" s="176" t="s">
        <v>693</v>
      </c>
      <c r="H518" s="176" t="s">
        <v>694</v>
      </c>
      <c r="I518" s="176" t="s">
        <v>695</v>
      </c>
      <c r="J518" s="176" t="s">
        <v>696</v>
      </c>
      <c r="K518" s="176" t="s">
        <v>697</v>
      </c>
      <c r="L518" s="106"/>
      <c r="N518" s="270"/>
    </row>
    <row r="519" spans="1:14" s="52" customFormat="1" ht="12.2" customHeight="1" x14ac:dyDescent="0.2">
      <c r="A519" s="177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.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F198-F567</f>
        <v>1732658.7479999999</v>
      </c>
      <c r="G521" s="281">
        <f t="shared" ref="G521:I521" si="38">G198-G567</f>
        <v>644559.83799999999</v>
      </c>
      <c r="H521" s="281">
        <f t="shared" si="38"/>
        <v>107173.82</v>
      </c>
      <c r="I521" s="281">
        <f t="shared" si="38"/>
        <v>26476.17</v>
      </c>
      <c r="J521" s="281"/>
      <c r="K521" s="281"/>
      <c r="L521" s="88">
        <f>SUM(F521:K521)</f>
        <v>2510868.5759999999</v>
      </c>
      <c r="N521" s="270"/>
    </row>
    <row r="522" spans="1:14" s="52" customFormat="1" ht="12.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F216-F568</f>
        <v>915618.10200000007</v>
      </c>
      <c r="G522" s="281">
        <f t="shared" ref="G522:K522" si="39">G216-G568</f>
        <v>331989.772</v>
      </c>
      <c r="H522" s="281">
        <f t="shared" si="39"/>
        <v>163364.61000000002</v>
      </c>
      <c r="I522" s="281">
        <f t="shared" si="39"/>
        <v>9583.36</v>
      </c>
      <c r="J522" s="281"/>
      <c r="K522" s="281">
        <f t="shared" si="39"/>
        <v>4412.2299999999996</v>
      </c>
      <c r="L522" s="88">
        <f>SUM(F522:K522)</f>
        <v>1424968.0740000003</v>
      </c>
      <c r="N522" s="270"/>
    </row>
    <row r="523" spans="1:14" s="52" customFormat="1" ht="12.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F234+171290.9</f>
        <v>994539.66</v>
      </c>
      <c r="G523" s="281">
        <f>G234+97562.97</f>
        <v>403193.20999999996</v>
      </c>
      <c r="H523" s="281">
        <f>H234+0</f>
        <v>1309843.75</v>
      </c>
      <c r="I523" s="281">
        <f>I234+33081.47</f>
        <v>44335.98</v>
      </c>
      <c r="J523" s="281">
        <v>20973.02</v>
      </c>
      <c r="K523" s="281"/>
      <c r="L523" s="88">
        <f>SUM(F523:K523)</f>
        <v>2772885.62</v>
      </c>
      <c r="N523" s="270"/>
    </row>
    <row r="524" spans="1:14" s="52" customFormat="1" ht="12.2" customHeight="1" thickTop="1" x14ac:dyDescent="0.2">
      <c r="A524" s="139" t="s">
        <v>63</v>
      </c>
      <c r="B524" s="107">
        <v>21</v>
      </c>
      <c r="C524" s="194">
        <v>4</v>
      </c>
      <c r="D524" s="195" t="s">
        <v>432</v>
      </c>
      <c r="E524" s="194"/>
      <c r="F524" s="108">
        <f>SUM(F521:F523)</f>
        <v>3642816.5100000002</v>
      </c>
      <c r="G524" s="108">
        <f t="shared" ref="G524:L524" si="40">SUM(G521:G523)</f>
        <v>1379742.8199999998</v>
      </c>
      <c r="H524" s="108">
        <f t="shared" si="40"/>
        <v>1580382.1800000002</v>
      </c>
      <c r="I524" s="108">
        <f t="shared" si="40"/>
        <v>80395.510000000009</v>
      </c>
      <c r="J524" s="108">
        <f t="shared" si="40"/>
        <v>20973.02</v>
      </c>
      <c r="K524" s="108">
        <f t="shared" si="40"/>
        <v>4412.2299999999996</v>
      </c>
      <c r="L524" s="89">
        <f t="shared" si="40"/>
        <v>6708722.2700000005</v>
      </c>
      <c r="N524" s="270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.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4078</v>
      </c>
      <c r="I526" s="18">
        <v>237.25</v>
      </c>
      <c r="J526" s="18"/>
      <c r="K526" s="18">
        <v>124.06</v>
      </c>
      <c r="L526" s="88">
        <f>SUM(F526:K526)</f>
        <v>4439.3100000000004</v>
      </c>
      <c r="M526" s="8"/>
      <c r="N526" s="271"/>
    </row>
    <row r="527" spans="1:14" s="3" customFormat="1" ht="12.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.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281">
        <v>95163.67</v>
      </c>
      <c r="G528" s="281">
        <v>19949.050000000003</v>
      </c>
      <c r="H528" s="281">
        <v>21473.87</v>
      </c>
      <c r="I528" s="281">
        <v>1905.4</v>
      </c>
      <c r="J528" s="18"/>
      <c r="K528" s="18">
        <v>13369.16</v>
      </c>
      <c r="L528" s="88">
        <f>SUM(F528:K528)</f>
        <v>151861.15</v>
      </c>
      <c r="M528" s="8"/>
      <c r="N528" s="271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7" t="s">
        <v>432</v>
      </c>
      <c r="E529" s="107"/>
      <c r="F529" s="89">
        <f>SUM(F526:F528)</f>
        <v>95163.67</v>
      </c>
      <c r="G529" s="89">
        <f t="shared" ref="G529:L529" si="41">SUM(G526:G528)</f>
        <v>19949.050000000003</v>
      </c>
      <c r="H529" s="89">
        <f t="shared" si="41"/>
        <v>25551.87</v>
      </c>
      <c r="I529" s="89">
        <f t="shared" si="41"/>
        <v>2142.65</v>
      </c>
      <c r="J529" s="89">
        <f t="shared" si="41"/>
        <v>0</v>
      </c>
      <c r="K529" s="89">
        <f t="shared" si="41"/>
        <v>13493.22</v>
      </c>
      <c r="L529" s="89">
        <f t="shared" si="41"/>
        <v>156300.46</v>
      </c>
      <c r="M529" s="8"/>
      <c r="N529" s="271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.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210603.08</v>
      </c>
      <c r="G531" s="18">
        <v>104320.65</v>
      </c>
      <c r="H531" s="18"/>
      <c r="I531" s="18"/>
      <c r="J531" s="18"/>
      <c r="K531" s="18"/>
      <c r="L531" s="88">
        <f>SUM(F531:K531)</f>
        <v>314923.73</v>
      </c>
      <c r="M531" s="8"/>
      <c r="N531" s="271"/>
    </row>
    <row r="532" spans="1:14" s="3" customFormat="1" ht="12.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115105.68</v>
      </c>
      <c r="G532" s="18">
        <v>54885.23</v>
      </c>
      <c r="H532" s="18"/>
      <c r="I532" s="18"/>
      <c r="J532" s="18"/>
      <c r="K532" s="18"/>
      <c r="L532" s="88">
        <f>SUM(F532:K532)</f>
        <v>169990.91</v>
      </c>
      <c r="M532" s="8"/>
      <c r="N532" s="271"/>
    </row>
    <row r="533" spans="1:14" s="3" customFormat="1" ht="12.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122909.24</v>
      </c>
      <c r="G533" s="18">
        <v>59642.16</v>
      </c>
      <c r="H533" s="18"/>
      <c r="I533" s="18"/>
      <c r="J533" s="18"/>
      <c r="K533" s="18"/>
      <c r="L533" s="88">
        <f>SUM(F533:K533)</f>
        <v>182551.40000000002</v>
      </c>
      <c r="M533" s="8"/>
      <c r="N533" s="271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7" t="s">
        <v>432</v>
      </c>
      <c r="E534" s="107"/>
      <c r="F534" s="89">
        <f>SUM(F531:F533)</f>
        <v>448618</v>
      </c>
      <c r="G534" s="89">
        <f t="shared" ref="G534:L534" si="42">SUM(G531:G533)</f>
        <v>218848.04</v>
      </c>
      <c r="H534" s="89">
        <f t="shared" si="42"/>
        <v>0</v>
      </c>
      <c r="I534" s="89">
        <f t="shared" si="42"/>
        <v>0</v>
      </c>
      <c r="J534" s="89">
        <f t="shared" si="42"/>
        <v>0</v>
      </c>
      <c r="K534" s="89">
        <f t="shared" si="42"/>
        <v>0</v>
      </c>
      <c r="L534" s="89">
        <f t="shared" si="42"/>
        <v>667466.04</v>
      </c>
      <c r="M534" s="8"/>
      <c r="N534" s="271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3" t="s">
        <v>288</v>
      </c>
      <c r="G535" s="193" t="s">
        <v>288</v>
      </c>
      <c r="H535" s="193" t="s">
        <v>288</v>
      </c>
      <c r="I535" s="193" t="s">
        <v>288</v>
      </c>
      <c r="J535" s="193" t="s">
        <v>288</v>
      </c>
      <c r="K535" s="193" t="s">
        <v>288</v>
      </c>
      <c r="L535" s="193" t="s">
        <v>288</v>
      </c>
      <c r="M535" s="8"/>
      <c r="N535" s="271"/>
    </row>
    <row r="536" spans="1:14" s="3" customFormat="1" ht="12.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20886.990000000002</v>
      </c>
      <c r="I536" s="18"/>
      <c r="J536" s="18"/>
      <c r="K536" s="18"/>
      <c r="L536" s="88">
        <f>SUM(F536:K536)</f>
        <v>20886.990000000002</v>
      </c>
      <c r="M536" s="8"/>
      <c r="N536" s="271"/>
    </row>
    <row r="537" spans="1:14" s="3" customFormat="1" ht="12.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9776.89</v>
      </c>
      <c r="I537" s="18"/>
      <c r="J537" s="18"/>
      <c r="K537" s="18"/>
      <c r="L537" s="88">
        <f>SUM(F537:K537)</f>
        <v>9776.89</v>
      </c>
      <c r="M537" s="8"/>
      <c r="N537" s="271"/>
    </row>
    <row r="538" spans="1:14" s="3" customFormat="1" ht="12.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13776.53</v>
      </c>
      <c r="I538" s="18"/>
      <c r="J538" s="18"/>
      <c r="K538" s="18"/>
      <c r="L538" s="88">
        <f>SUM(F538:K538)</f>
        <v>13776.53</v>
      </c>
      <c r="M538" s="8"/>
      <c r="N538" s="271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7" t="s">
        <v>432</v>
      </c>
      <c r="E539" s="107"/>
      <c r="F539" s="89">
        <f>SUM(F536:F538)</f>
        <v>0</v>
      </c>
      <c r="G539" s="89">
        <f t="shared" ref="G539:L539" si="43">SUM(G536:G538)</f>
        <v>0</v>
      </c>
      <c r="H539" s="89">
        <f t="shared" si="43"/>
        <v>44440.41</v>
      </c>
      <c r="I539" s="89">
        <f t="shared" si="43"/>
        <v>0</v>
      </c>
      <c r="J539" s="89">
        <f t="shared" si="43"/>
        <v>0</v>
      </c>
      <c r="K539" s="89">
        <f t="shared" si="43"/>
        <v>0</v>
      </c>
      <c r="L539" s="89">
        <f t="shared" si="43"/>
        <v>44440.41</v>
      </c>
      <c r="M539" s="8"/>
      <c r="N539" s="271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.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H592</f>
        <v>68297.649999999994</v>
      </c>
      <c r="I541" s="18"/>
      <c r="J541" s="18"/>
      <c r="K541" s="18"/>
      <c r="L541" s="88">
        <f>SUM(F541:K541)</f>
        <v>68297.649999999994</v>
      </c>
      <c r="M541" s="8"/>
      <c r="N541" s="271"/>
    </row>
    <row r="542" spans="1:14" s="3" customFormat="1" ht="12.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f>I592</f>
        <v>37253.29</v>
      </c>
      <c r="I542" s="18"/>
      <c r="J542" s="18"/>
      <c r="K542" s="18"/>
      <c r="L542" s="88">
        <f>SUM(F542:K542)</f>
        <v>37253.29</v>
      </c>
      <c r="M542" s="8"/>
      <c r="N542" s="271"/>
    </row>
    <row r="543" spans="1:14" s="3" customFormat="1" ht="12.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J592</f>
        <v>49671.02</v>
      </c>
      <c r="I543" s="18"/>
      <c r="J543" s="18"/>
      <c r="K543" s="18"/>
      <c r="L543" s="88">
        <f>SUM(F543:K543)</f>
        <v>49671.02</v>
      </c>
      <c r="M543" s="8"/>
      <c r="N543" s="271"/>
    </row>
    <row r="544" spans="1:14" s="3" customFormat="1" ht="12.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432</v>
      </c>
      <c r="E544" s="190"/>
      <c r="F544" s="192">
        <f>SUM(F541:F543)</f>
        <v>0</v>
      </c>
      <c r="G544" s="192">
        <f t="shared" ref="G544:L544" si="44">SUM(G541:G543)</f>
        <v>0</v>
      </c>
      <c r="H544" s="192">
        <f t="shared" si="44"/>
        <v>155221.96</v>
      </c>
      <c r="I544" s="192">
        <f t="shared" si="44"/>
        <v>0</v>
      </c>
      <c r="J544" s="192">
        <f t="shared" si="44"/>
        <v>0</v>
      </c>
      <c r="K544" s="192">
        <f t="shared" si="44"/>
        <v>0</v>
      </c>
      <c r="L544" s="192">
        <f t="shared" si="44"/>
        <v>155221.96</v>
      </c>
      <c r="M544" s="8"/>
      <c r="N544" s="271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7" t="s">
        <v>432</v>
      </c>
      <c r="E545" s="107"/>
      <c r="F545" s="89">
        <f>F524+F529+F534+F539+F544</f>
        <v>4186598.18</v>
      </c>
      <c r="G545" s="89">
        <f t="shared" ref="G545:L545" si="45">G524+G529+G534+G539+G544</f>
        <v>1618539.91</v>
      </c>
      <c r="H545" s="89">
        <f t="shared" si="45"/>
        <v>1805596.4200000002</v>
      </c>
      <c r="I545" s="89">
        <f t="shared" si="45"/>
        <v>82538.16</v>
      </c>
      <c r="J545" s="89">
        <f t="shared" si="45"/>
        <v>20973.02</v>
      </c>
      <c r="K545" s="89">
        <f t="shared" si="45"/>
        <v>17905.449999999997</v>
      </c>
      <c r="L545" s="89">
        <f t="shared" si="45"/>
        <v>7732151.1400000006</v>
      </c>
      <c r="M545" s="8"/>
      <c r="N545" s="271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.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2510868.5759999999</v>
      </c>
      <c r="G549" s="87">
        <f>L526</f>
        <v>4439.3100000000004</v>
      </c>
      <c r="H549" s="87">
        <f>L531</f>
        <v>314923.73</v>
      </c>
      <c r="I549" s="87">
        <f>L536</f>
        <v>20886.990000000002</v>
      </c>
      <c r="J549" s="87">
        <f>L541</f>
        <v>68297.649999999994</v>
      </c>
      <c r="K549" s="87">
        <f>SUM(F549:J549)</f>
        <v>2919416.2560000001</v>
      </c>
      <c r="L549" s="24" t="s">
        <v>288</v>
      </c>
      <c r="M549" s="8"/>
      <c r="N549" s="271"/>
    </row>
    <row r="550" spans="1:14" s="3" customFormat="1" ht="12.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1424968.0740000003</v>
      </c>
      <c r="G550" s="87">
        <f>L527</f>
        <v>0</v>
      </c>
      <c r="H550" s="87">
        <f>L532</f>
        <v>169990.91</v>
      </c>
      <c r="I550" s="87">
        <f>L537</f>
        <v>9776.89</v>
      </c>
      <c r="J550" s="87">
        <f>L542</f>
        <v>37253.29</v>
      </c>
      <c r="K550" s="87">
        <f>SUM(F550:J550)</f>
        <v>1641989.1640000001</v>
      </c>
      <c r="L550" s="24" t="s">
        <v>288</v>
      </c>
      <c r="M550" s="8"/>
      <c r="N550" s="271"/>
    </row>
    <row r="551" spans="1:14" s="3" customFormat="1" ht="12.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2772885.62</v>
      </c>
      <c r="G551" s="87">
        <f>L528</f>
        <v>151861.15</v>
      </c>
      <c r="H551" s="87">
        <f>L533</f>
        <v>182551.40000000002</v>
      </c>
      <c r="I551" s="87">
        <f>L538</f>
        <v>13776.53</v>
      </c>
      <c r="J551" s="87">
        <f>L543</f>
        <v>49671.02</v>
      </c>
      <c r="K551" s="87">
        <f>SUM(F551:J551)</f>
        <v>3170745.7199999997</v>
      </c>
      <c r="L551" s="24" t="s">
        <v>288</v>
      </c>
      <c r="M551" s="8"/>
      <c r="N551" s="271"/>
    </row>
    <row r="552" spans="1:14" s="3" customFormat="1" ht="12.2" customHeight="1" thickTop="1" x14ac:dyDescent="0.15">
      <c r="A552" s="171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6">SUM(F549:F551)</f>
        <v>6708722.2700000005</v>
      </c>
      <c r="G552" s="89">
        <f t="shared" si="46"/>
        <v>156300.46</v>
      </c>
      <c r="H552" s="89">
        <f t="shared" si="46"/>
        <v>667466.04</v>
      </c>
      <c r="I552" s="89">
        <f t="shared" si="46"/>
        <v>44440.41</v>
      </c>
      <c r="J552" s="89">
        <f t="shared" si="46"/>
        <v>155221.96</v>
      </c>
      <c r="K552" s="89">
        <f t="shared" si="46"/>
        <v>7732151.1399999997</v>
      </c>
      <c r="L552" s="24"/>
      <c r="M552" s="8"/>
      <c r="N552" s="271"/>
    </row>
    <row r="553" spans="1:14" s="3" customFormat="1" ht="12.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.2" customHeight="1" x14ac:dyDescent="0.15">
      <c r="B554" s="105"/>
      <c r="C554" s="115"/>
      <c r="D554" s="115"/>
      <c r="E554" s="115"/>
      <c r="F554" s="176" t="s">
        <v>692</v>
      </c>
      <c r="G554" s="176" t="s">
        <v>693</v>
      </c>
      <c r="H554" s="176" t="s">
        <v>694</v>
      </c>
      <c r="I554" s="176" t="s">
        <v>695</v>
      </c>
      <c r="J554" s="176" t="s">
        <v>696</v>
      </c>
      <c r="K554" s="176" t="s">
        <v>697</v>
      </c>
      <c r="L554" s="106"/>
      <c r="M554" s="8"/>
      <c r="N554" s="271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.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.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.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.2" customHeight="1" thickTop="1" x14ac:dyDescent="0.15">
      <c r="A560" s="139" t="s">
        <v>63</v>
      </c>
      <c r="B560" s="107">
        <v>22</v>
      </c>
      <c r="C560" s="194">
        <v>4</v>
      </c>
      <c r="D560" s="195" t="s">
        <v>432</v>
      </c>
      <c r="E560" s="194"/>
      <c r="F560" s="108">
        <f t="shared" ref="F560:L560" si="47">SUM(F557:F559)</f>
        <v>0</v>
      </c>
      <c r="G560" s="108">
        <f t="shared" si="47"/>
        <v>0</v>
      </c>
      <c r="H560" s="108">
        <f t="shared" si="47"/>
        <v>0</v>
      </c>
      <c r="I560" s="108">
        <f t="shared" si="47"/>
        <v>0</v>
      </c>
      <c r="J560" s="108">
        <f t="shared" si="47"/>
        <v>0</v>
      </c>
      <c r="K560" s="108">
        <f t="shared" si="47"/>
        <v>0</v>
      </c>
      <c r="L560" s="89">
        <f t="shared" si="47"/>
        <v>0</v>
      </c>
      <c r="M560" s="8"/>
      <c r="N560" s="271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.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.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.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5" t="s">
        <v>432</v>
      </c>
      <c r="E565" s="107"/>
      <c r="F565" s="89">
        <f t="shared" ref="F565:L565" si="48">SUM(F562:F564)</f>
        <v>0</v>
      </c>
      <c r="G565" s="89">
        <f t="shared" si="48"/>
        <v>0</v>
      </c>
      <c r="H565" s="89">
        <f t="shared" si="48"/>
        <v>0</v>
      </c>
      <c r="I565" s="89">
        <f t="shared" si="48"/>
        <v>0</v>
      </c>
      <c r="J565" s="89">
        <f t="shared" si="48"/>
        <v>0</v>
      </c>
      <c r="K565" s="89">
        <f t="shared" si="48"/>
        <v>0</v>
      </c>
      <c r="L565" s="89">
        <f t="shared" si="48"/>
        <v>0</v>
      </c>
      <c r="M565" s="8"/>
      <c r="N565" s="271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.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281">
        <v>47364.671999999999</v>
      </c>
      <c r="G567" s="281">
        <v>14034.541999999999</v>
      </c>
      <c r="H567" s="281">
        <v>2951.2000000000003</v>
      </c>
      <c r="I567" s="281">
        <v>4743</v>
      </c>
      <c r="J567" s="18"/>
      <c r="K567" s="18"/>
      <c r="L567" s="88">
        <f>SUM(F567:K567)</f>
        <v>69093.41399999999</v>
      </c>
      <c r="M567" s="8"/>
      <c r="N567" s="271"/>
    </row>
    <row r="568" spans="1:14" s="3" customFormat="1" ht="12.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281">
        <v>11841.167999999998</v>
      </c>
      <c r="G568" s="281">
        <v>3519.9979999999987</v>
      </c>
      <c r="H568" s="281">
        <v>768.8</v>
      </c>
      <c r="I568" s="281">
        <v>1497.79</v>
      </c>
      <c r="J568" s="18"/>
      <c r="K568" s="18"/>
      <c r="L568" s="88">
        <f>SUM(F568:K568)</f>
        <v>17627.755999999998</v>
      </c>
      <c r="M568" s="8"/>
      <c r="N568" s="271"/>
    </row>
    <row r="569" spans="1:14" s="3" customFormat="1" ht="12.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.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432</v>
      </c>
      <c r="E570" s="190"/>
      <c r="F570" s="192">
        <f>SUM(F567:F569)</f>
        <v>59205.84</v>
      </c>
      <c r="G570" s="192">
        <f t="shared" ref="G570:L570" si="49">SUM(G567:G569)</f>
        <v>17554.539999999997</v>
      </c>
      <c r="H570" s="192">
        <f t="shared" si="49"/>
        <v>3720</v>
      </c>
      <c r="I570" s="192">
        <f t="shared" si="49"/>
        <v>6240.79</v>
      </c>
      <c r="J570" s="192">
        <f t="shared" si="49"/>
        <v>0</v>
      </c>
      <c r="K570" s="192">
        <f t="shared" si="49"/>
        <v>0</v>
      </c>
      <c r="L570" s="192">
        <f t="shared" si="49"/>
        <v>86721.169999999984</v>
      </c>
      <c r="M570" s="8"/>
      <c r="N570" s="271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7" t="s">
        <v>432</v>
      </c>
      <c r="E571" s="107"/>
      <c r="F571" s="89">
        <f>F560+F565+F570</f>
        <v>59205.84</v>
      </c>
      <c r="G571" s="89">
        <f t="shared" ref="G571:L571" si="50">G560+G565+G570</f>
        <v>17554.539999999997</v>
      </c>
      <c r="H571" s="89">
        <f t="shared" si="50"/>
        <v>3720</v>
      </c>
      <c r="I571" s="89">
        <f t="shared" si="50"/>
        <v>6240.79</v>
      </c>
      <c r="J571" s="89">
        <f t="shared" si="50"/>
        <v>0</v>
      </c>
      <c r="K571" s="89">
        <f t="shared" si="50"/>
        <v>0</v>
      </c>
      <c r="L571" s="89">
        <f t="shared" si="50"/>
        <v>86721.169999999984</v>
      </c>
      <c r="M571" s="8"/>
      <c r="N571" s="271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.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.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.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51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.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51"/>
        <v>0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.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51"/>
        <v>0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.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51"/>
        <v>0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.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51"/>
        <v>0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.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51"/>
        <v>0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.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105756.12</v>
      </c>
      <c r="H582" s="18">
        <v>1230507.3700000001</v>
      </c>
      <c r="I582" s="87">
        <f t="shared" si="51"/>
        <v>1336263.4900000002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.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51"/>
        <v>0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.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76279.88</v>
      </c>
      <c r="I584" s="87">
        <f t="shared" si="51"/>
        <v>76279.88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.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51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.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51"/>
        <v>0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.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51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.2" customHeight="1" x14ac:dyDescent="0.15">
      <c r="A588" s="172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.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.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281">
        <v>918980.65999999992</v>
      </c>
      <c r="I591" s="281">
        <v>490868.67000000004</v>
      </c>
      <c r="J591" s="281">
        <v>636271.66</v>
      </c>
      <c r="K591" s="104">
        <f t="shared" ref="K591:K597" si="52">SUM(H591:J591)</f>
        <v>2046120.9900000002</v>
      </c>
      <c r="L591" s="24" t="s">
        <v>288</v>
      </c>
      <c r="M591" s="8"/>
      <c r="N591" s="271"/>
    </row>
    <row r="592" spans="1:14" s="3" customFormat="1" ht="12.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281">
        <v>68297.649999999994</v>
      </c>
      <c r="I592" s="281">
        <v>37253.29</v>
      </c>
      <c r="J592" s="281">
        <v>49671.02</v>
      </c>
      <c r="K592" s="104">
        <f t="shared" si="52"/>
        <v>155221.96</v>
      </c>
      <c r="L592" s="24" t="s">
        <v>288</v>
      </c>
      <c r="M592" s="8"/>
      <c r="N592" s="271"/>
    </row>
    <row r="593" spans="1:14" s="3" customFormat="1" ht="12.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281"/>
      <c r="I593" s="281"/>
      <c r="J593" s="281">
        <v>18606.68</v>
      </c>
      <c r="K593" s="104">
        <f t="shared" si="52"/>
        <v>18606.68</v>
      </c>
      <c r="L593" s="24" t="s">
        <v>288</v>
      </c>
      <c r="M593" s="8"/>
      <c r="N593" s="271"/>
    </row>
    <row r="594" spans="1:14" s="3" customFormat="1" ht="12.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281"/>
      <c r="I594" s="281">
        <v>8357.42</v>
      </c>
      <c r="J594" s="281">
        <v>51122.55</v>
      </c>
      <c r="K594" s="104">
        <f t="shared" si="52"/>
        <v>59479.97</v>
      </c>
      <c r="L594" s="24" t="s">
        <v>288</v>
      </c>
      <c r="M594" s="8"/>
      <c r="N594" s="271"/>
    </row>
    <row r="595" spans="1:14" s="3" customFormat="1" ht="12.2" customHeight="1" x14ac:dyDescent="0.15">
      <c r="A595" s="170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281">
        <v>33491.269999999997</v>
      </c>
      <c r="I595" s="281">
        <v>17211.16</v>
      </c>
      <c r="J595" s="281">
        <v>19743.759999999998</v>
      </c>
      <c r="K595" s="104">
        <f t="shared" si="52"/>
        <v>70446.189999999988</v>
      </c>
      <c r="L595" s="24" t="s">
        <v>288</v>
      </c>
      <c r="M595" s="8"/>
      <c r="N595" s="271"/>
    </row>
    <row r="596" spans="1:14" s="3" customFormat="1" ht="12.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288</v>
      </c>
      <c r="M596" s="8"/>
      <c r="N596" s="271"/>
    </row>
    <row r="597" spans="1:14" s="3" customFormat="1" ht="12.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2"/>
        <v>0</v>
      </c>
      <c r="L597" s="24" t="s">
        <v>288</v>
      </c>
      <c r="M597" s="8"/>
      <c r="N597" s="271"/>
    </row>
    <row r="598" spans="1:14" s="3" customFormat="1" ht="12.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1020769.58</v>
      </c>
      <c r="I598" s="108">
        <f>SUM(I591:I597)</f>
        <v>553690.54000000015</v>
      </c>
      <c r="J598" s="108">
        <f>SUM(J591:J597)</f>
        <v>775415.67000000016</v>
      </c>
      <c r="K598" s="108">
        <f>SUM(K591:K597)</f>
        <v>2349875.7900000005</v>
      </c>
      <c r="L598" s="24" t="s">
        <v>288</v>
      </c>
      <c r="M598" s="8"/>
      <c r="N598" s="271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.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1"/>
    </row>
    <row r="603" spans="1:14" s="3" customFormat="1" ht="12.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1"/>
    </row>
    <row r="604" spans="1:14" s="3" customFormat="1" ht="12.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J211+J290</f>
        <v>190520.19</v>
      </c>
      <c r="I604" s="281">
        <f>J229+J309</f>
        <v>80660.53</v>
      </c>
      <c r="J604" s="18">
        <f>J247+J328</f>
        <v>216662.92000000004</v>
      </c>
      <c r="K604" s="104">
        <f>SUM(H604:J604)</f>
        <v>487843.64</v>
      </c>
      <c r="L604" s="24" t="s">
        <v>288</v>
      </c>
      <c r="M604" s="8"/>
      <c r="N604" s="271"/>
    </row>
    <row r="605" spans="1:14" s="3" customFormat="1" ht="12.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190520.19</v>
      </c>
      <c r="I605" s="108">
        <f>SUM(I602:I604)</f>
        <v>80660.53</v>
      </c>
      <c r="J605" s="108">
        <f>SUM(J602:J604)</f>
        <v>216662.92000000004</v>
      </c>
      <c r="K605" s="108">
        <f>SUM(K602:K604)</f>
        <v>487843.64</v>
      </c>
      <c r="L605" s="24" t="s">
        <v>288</v>
      </c>
      <c r="M605" s="8"/>
      <c r="N605" s="271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.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.2" customHeight="1" x14ac:dyDescent="0.15">
      <c r="B609" s="105"/>
      <c r="C609" s="105"/>
      <c r="D609" s="105"/>
      <c r="E609" s="105"/>
      <c r="F609" s="176" t="s">
        <v>692</v>
      </c>
      <c r="G609" s="176" t="s">
        <v>693</v>
      </c>
      <c r="H609" s="176" t="s">
        <v>694</v>
      </c>
      <c r="I609" s="176" t="s">
        <v>695</v>
      </c>
      <c r="J609" s="176" t="s">
        <v>696</v>
      </c>
      <c r="K609" s="176" t="s">
        <v>697</v>
      </c>
      <c r="L609" s="88"/>
      <c r="M609" s="8"/>
      <c r="N609" s="271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.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281">
        <v>19727.5</v>
      </c>
      <c r="G611" s="281">
        <v>3469.88</v>
      </c>
      <c r="H611" s="281">
        <v>40654.519999999997</v>
      </c>
      <c r="I611" s="281">
        <v>1232.52</v>
      </c>
      <c r="J611" s="18"/>
      <c r="K611" s="18"/>
      <c r="L611" s="88">
        <f>SUM(F611:K611)</f>
        <v>65084.419999999991</v>
      </c>
      <c r="M611" s="8"/>
      <c r="N611" s="271"/>
    </row>
    <row r="612" spans="1:14" s="3" customFormat="1" ht="12.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281">
        <v>29252.66</v>
      </c>
      <c r="G612" s="281">
        <v>3696.2</v>
      </c>
      <c r="H612" s="281">
        <v>22175.19</v>
      </c>
      <c r="I612" s="281">
        <v>0</v>
      </c>
      <c r="J612" s="18"/>
      <c r="K612" s="18"/>
      <c r="L612" s="88">
        <f>SUM(F612:K612)</f>
        <v>55124.05</v>
      </c>
      <c r="M612" s="8"/>
      <c r="N612" s="271"/>
    </row>
    <row r="613" spans="1:14" s="3" customFormat="1" ht="12.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281">
        <v>40396.54</v>
      </c>
      <c r="G613" s="281">
        <v>5106.8099999999995</v>
      </c>
      <c r="H613" s="281">
        <v>29566.92</v>
      </c>
      <c r="I613" s="281">
        <v>0</v>
      </c>
      <c r="J613" s="18"/>
      <c r="K613" s="18"/>
      <c r="L613" s="88">
        <f>SUM(F613:K613)</f>
        <v>75070.26999999999</v>
      </c>
      <c r="M613" s="8"/>
      <c r="N613" s="271"/>
    </row>
    <row r="614" spans="1:14" s="3" customFormat="1" ht="12.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3">SUM(F611:F613)</f>
        <v>89376.700000000012</v>
      </c>
      <c r="G614" s="108">
        <f t="shared" si="53"/>
        <v>12272.89</v>
      </c>
      <c r="H614" s="108">
        <f t="shared" si="53"/>
        <v>92396.62999999999</v>
      </c>
      <c r="I614" s="108">
        <f t="shared" si="53"/>
        <v>1232.52</v>
      </c>
      <c r="J614" s="108">
        <f t="shared" si="53"/>
        <v>0</v>
      </c>
      <c r="K614" s="108">
        <f t="shared" si="53"/>
        <v>0</v>
      </c>
      <c r="L614" s="89">
        <f t="shared" si="53"/>
        <v>195278.74</v>
      </c>
      <c r="M614" s="8"/>
      <c r="N614" s="271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6211061.8400000008</v>
      </c>
      <c r="H617" s="109">
        <f>SUM(F52)</f>
        <v>6211061.8399999999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552145.25</v>
      </c>
      <c r="H618" s="109">
        <f>SUM(G52)</f>
        <v>552145.25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610540.79</v>
      </c>
      <c r="H619" s="109">
        <f>SUM(H52)</f>
        <v>610540.79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152183.5</v>
      </c>
      <c r="H620" s="109">
        <f>SUM(I52)</f>
        <v>152183.5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1975829.07</v>
      </c>
      <c r="H621" s="109">
        <f>SUM(J52)</f>
        <v>1975829.07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4168420.19</v>
      </c>
      <c r="H622" s="109">
        <f>F476</f>
        <v>4168420.1899999976</v>
      </c>
      <c r="I622" s="121" t="s">
        <v>101</v>
      </c>
      <c r="J622" s="109">
        <f t="shared" ref="J622:J655" si="54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18497.38</v>
      </c>
      <c r="H623" s="109">
        <f>G476</f>
        <v>18497.380000000005</v>
      </c>
      <c r="I623" s="121" t="s">
        <v>102</v>
      </c>
      <c r="J623" s="109">
        <f t="shared" si="54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4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106451.5</v>
      </c>
      <c r="H625" s="109">
        <f>I476</f>
        <v>106451.5</v>
      </c>
      <c r="I625" s="121" t="s">
        <v>104</v>
      </c>
      <c r="J625" s="109">
        <f t="shared" si="54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1970829.07</v>
      </c>
      <c r="H626" s="109">
        <f>J476</f>
        <v>1970829.07</v>
      </c>
      <c r="I626" s="140" t="s">
        <v>105</v>
      </c>
      <c r="J626" s="109">
        <f t="shared" si="54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38671380.700000003</v>
      </c>
      <c r="H627" s="104">
        <f>SUM(F468)</f>
        <v>38671380.700000003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625908.49</v>
      </c>
      <c r="H628" s="104">
        <f>SUM(G468)</f>
        <v>625908.49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964873.13</v>
      </c>
      <c r="H629" s="104">
        <f>SUM(H468)</f>
        <v>964873.13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1028.47</v>
      </c>
      <c r="H630" s="104">
        <f>SUM(I468)</f>
        <v>1028.47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121730.41</v>
      </c>
      <c r="H631" s="104">
        <f>SUM(J468)</f>
        <v>121730.41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37486293.810000002</v>
      </c>
      <c r="H632" s="104">
        <f>SUM(F472)</f>
        <v>37486293.810000002</v>
      </c>
      <c r="I632" s="140" t="s">
        <v>111</v>
      </c>
      <c r="J632" s="109">
        <f t="shared" si="54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964873.13</v>
      </c>
      <c r="H633" s="104">
        <f>SUM(H472)</f>
        <v>964873.13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32993.449999999997</v>
      </c>
      <c r="H634" s="104">
        <f>I369</f>
        <v>32993.449999999997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8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625908.49</v>
      </c>
      <c r="H635" s="104">
        <f>SUM(G472)</f>
        <v>625908.49</v>
      </c>
      <c r="I635" s="140" t="s">
        <v>114</v>
      </c>
      <c r="J635" s="109">
        <f t="shared" si="54"/>
        <v>0</v>
      </c>
      <c r="K635" s="85"/>
      <c r="L635" s="88"/>
      <c r="M635" s="167"/>
    </row>
    <row r="636" spans="1:13" s="168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4"/>
        <v>0</v>
      </c>
      <c r="K636" s="85"/>
      <c r="L636" s="88"/>
      <c r="M636" s="167"/>
    </row>
    <row r="637" spans="1:13" s="3" customFormat="1" ht="12.2" customHeight="1" x14ac:dyDescent="0.15">
      <c r="A637" s="160"/>
      <c r="B637" s="161"/>
      <c r="C637" s="161"/>
      <c r="D637" s="161"/>
      <c r="E637" s="161"/>
      <c r="F637" s="162" t="s">
        <v>477</v>
      </c>
      <c r="G637" s="151">
        <f>SUM(L408)</f>
        <v>121730.41</v>
      </c>
      <c r="H637" s="163">
        <f>SUM(J468)</f>
        <v>121730.41</v>
      </c>
      <c r="I637" s="164" t="s">
        <v>110</v>
      </c>
      <c r="J637" s="151">
        <f t="shared" si="54"/>
        <v>0</v>
      </c>
      <c r="K637" s="165"/>
      <c r="L637" s="166"/>
      <c r="M637" s="8"/>
    </row>
    <row r="638" spans="1:13" s="3" customFormat="1" ht="12.2" customHeight="1" x14ac:dyDescent="0.15">
      <c r="A638" s="160"/>
      <c r="B638" s="161"/>
      <c r="C638" s="161"/>
      <c r="D638" s="161"/>
      <c r="E638" s="161"/>
      <c r="F638" s="162" t="s">
        <v>478</v>
      </c>
      <c r="G638" s="151">
        <f>SUM(L434)</f>
        <v>33128.57</v>
      </c>
      <c r="H638" s="163">
        <f>SUM(J472)</f>
        <v>33128.57</v>
      </c>
      <c r="I638" s="164" t="s">
        <v>117</v>
      </c>
      <c r="J638" s="151">
        <f t="shared" si="54"/>
        <v>0</v>
      </c>
      <c r="K638" s="165"/>
      <c r="L638" s="166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1975829.07</v>
      </c>
      <c r="H639" s="104">
        <f>SUM(F461)</f>
        <v>1975829.07</v>
      </c>
      <c r="I639" s="140" t="s">
        <v>856</v>
      </c>
      <c r="J639" s="109">
        <f t="shared" si="54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4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4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1975829.07</v>
      </c>
      <c r="H642" s="104">
        <f>SUM(I461)</f>
        <v>1975829.07</v>
      </c>
      <c r="I642" s="140" t="s">
        <v>859</v>
      </c>
      <c r="J642" s="109">
        <f t="shared" si="54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4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9186.5400000000009</v>
      </c>
      <c r="H644" s="104">
        <f>H408</f>
        <v>9186.5400000000009</v>
      </c>
      <c r="I644" s="140" t="s">
        <v>480</v>
      </c>
      <c r="J644" s="109">
        <f t="shared" si="54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4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121730.41</v>
      </c>
      <c r="H646" s="104">
        <f>L408</f>
        <v>121730.41</v>
      </c>
      <c r="I646" s="140" t="s">
        <v>477</v>
      </c>
      <c r="J646" s="109">
        <f t="shared" si="54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2349875.7900000005</v>
      </c>
      <c r="H647" s="104">
        <f>L208+L226+L244</f>
        <v>2349875.79</v>
      </c>
      <c r="I647" s="140" t="s">
        <v>396</v>
      </c>
      <c r="J647" s="109">
        <f t="shared" si="54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487843.64</v>
      </c>
      <c r="H648" s="104">
        <f>(J257+J338)-(J255+J336)</f>
        <v>487843.64</v>
      </c>
      <c r="I648" s="140" t="s">
        <v>702</v>
      </c>
      <c r="J648" s="109">
        <f t="shared" si="54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1020769.5800000001</v>
      </c>
      <c r="H649" s="104">
        <f>H598</f>
        <v>1020769.58</v>
      </c>
      <c r="I649" s="140" t="s">
        <v>388</v>
      </c>
      <c r="J649" s="109">
        <f t="shared" si="54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553690.54</v>
      </c>
      <c r="H650" s="104">
        <f>I598</f>
        <v>553690.54000000015</v>
      </c>
      <c r="I650" s="140" t="s">
        <v>389</v>
      </c>
      <c r="J650" s="109">
        <f t="shared" si="54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775415.67</v>
      </c>
      <c r="H651" s="104">
        <f>J598</f>
        <v>775415.67000000016</v>
      </c>
      <c r="I651" s="140" t="s">
        <v>390</v>
      </c>
      <c r="J651" s="109">
        <f t="shared" si="54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4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4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4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4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.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14332038.420000002</v>
      </c>
      <c r="G660" s="19">
        <f>(L229+L309+L359)</f>
        <v>9724022.6000000015</v>
      </c>
      <c r="H660" s="19">
        <f>(L247+L328+L360)</f>
        <v>12825518.5</v>
      </c>
      <c r="I660" s="19">
        <f>SUM(F660:H660)</f>
        <v>36881579.520000003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179202.1178836388</v>
      </c>
      <c r="G661" s="19">
        <f>(L359/IF(SUM(L358:L360)=0,1,SUM(L358:L360))*(SUM(G97:G110)))</f>
        <v>98690.407755304303</v>
      </c>
      <c r="H661" s="19">
        <f>(L360/IF(SUM(L358:L360)=0,1,SUM(L358:L360))*(SUM(G97:G110)))</f>
        <v>129750.42436105682</v>
      </c>
      <c r="I661" s="19">
        <f>SUM(F661:H661)</f>
        <v>407642.9499999999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1020769.5800000001</v>
      </c>
      <c r="G662" s="19">
        <f>(L226+L306)-(J226+J306)</f>
        <v>553690.54</v>
      </c>
      <c r="H662" s="19">
        <f>(L244+L325)-(J244+J325)</f>
        <v>775415.67</v>
      </c>
      <c r="I662" s="19">
        <f>SUM(F662:H662)</f>
        <v>2349875.79</v>
      </c>
      <c r="J662"/>
      <c r="K662" s="13"/>
      <c r="L662" s="13"/>
      <c r="M662" s="8"/>
    </row>
    <row r="663" spans="1:13" s="3" customFormat="1" ht="12.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255604.61</v>
      </c>
      <c r="G663" s="198">
        <f>SUM(G575:G587)+SUM(I602:I604)+L612</f>
        <v>241540.7</v>
      </c>
      <c r="H663" s="198">
        <f>SUM(H575:H587)+SUM(J602:J604)+L613</f>
        <v>1598520.44</v>
      </c>
      <c r="I663" s="19">
        <f>SUM(F663:H663)</f>
        <v>2095665.75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12876462.112116363</v>
      </c>
      <c r="G664" s="19">
        <f>G660-SUM(G661:G663)</f>
        <v>8830100.9522446971</v>
      </c>
      <c r="H664" s="19">
        <f>H660-SUM(H661:H663)</f>
        <v>10321831.965638943</v>
      </c>
      <c r="I664" s="19">
        <f>I660-SUM(I661:I663)</f>
        <v>32028395.030000001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6">
        <v>784.12</v>
      </c>
      <c r="G665" s="247">
        <v>421.52</v>
      </c>
      <c r="H665" s="247">
        <v>541.82000000000005</v>
      </c>
      <c r="I665" s="19">
        <f>SUM(F665:H665)</f>
        <v>1747.46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16421.55</v>
      </c>
      <c r="G667" s="19">
        <f>ROUND(G664/G665,2)</f>
        <v>20948.240000000002</v>
      </c>
      <c r="H667" s="19">
        <f>ROUND(H664/H665,2)</f>
        <v>19050.3</v>
      </c>
      <c r="I667" s="19">
        <f>ROUND(I664/I665,2)</f>
        <v>18328.54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-12.94</v>
      </c>
      <c r="I670" s="19">
        <f>SUM(F670:H670)</f>
        <v>-12.94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16421.55</v>
      </c>
      <c r="G672" s="19">
        <f>ROUND((G664+G669)/(G665+G670),2)</f>
        <v>20948.240000000002</v>
      </c>
      <c r="H672" s="19">
        <f>ROUND((H664+H669)/(H665+H670),2)</f>
        <v>19516.400000000001</v>
      </c>
      <c r="I672" s="19">
        <f>ROUND((I664+I669)/(I665+I670),2)</f>
        <v>18465.28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B9" sqref="B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784</v>
      </c>
      <c r="B1" s="231" t="str">
        <f>'DOE25'!A2</f>
        <v>Kearsarge Regional</v>
      </c>
      <c r="C1" s="237" t="s">
        <v>838</v>
      </c>
    </row>
    <row r="2" spans="1:3" x14ac:dyDescent="0.2">
      <c r="A2" s="232"/>
      <c r="B2" s="231"/>
    </row>
    <row r="3" spans="1:3" x14ac:dyDescent="0.2">
      <c r="A3" s="287" t="s">
        <v>783</v>
      </c>
      <c r="B3" s="287"/>
      <c r="C3" s="287"/>
    </row>
    <row r="4" spans="1:3" x14ac:dyDescent="0.2">
      <c r="A4" s="235"/>
      <c r="B4" s="236" t="str">
        <f>'DOE25'!H1</f>
        <v>DOE 25  2016-2017</v>
      </c>
      <c r="C4" s="235"/>
    </row>
    <row r="5" spans="1:3" x14ac:dyDescent="0.2">
      <c r="A5" s="232"/>
      <c r="B5" s="231"/>
    </row>
    <row r="6" spans="1:3" x14ac:dyDescent="0.2">
      <c r="A6" s="226"/>
      <c r="B6" s="286" t="s">
        <v>782</v>
      </c>
      <c r="C6" s="286"/>
    </row>
    <row r="7" spans="1:3" x14ac:dyDescent="0.2">
      <c r="A7" s="238" t="s">
        <v>785</v>
      </c>
      <c r="B7" s="284" t="s">
        <v>781</v>
      </c>
      <c r="C7" s="285"/>
    </row>
    <row r="8" spans="1:3" x14ac:dyDescent="0.2">
      <c r="B8" s="227" t="s">
        <v>54</v>
      </c>
      <c r="C8" s="227" t="s">
        <v>775</v>
      </c>
    </row>
    <row r="9" spans="1:3" x14ac:dyDescent="0.2">
      <c r="A9" s="33" t="s">
        <v>776</v>
      </c>
      <c r="B9" s="228">
        <f>'DOE25'!F197+'DOE25'!F215+'DOE25'!F233+'DOE25'!F276+'DOE25'!F295+'DOE25'!F314</f>
        <v>10210011.630000001</v>
      </c>
      <c r="C9" s="228">
        <f>'DOE25'!G197+'DOE25'!G215+'DOE25'!G233+'DOE25'!G276+'DOE25'!G295+'DOE25'!G314</f>
        <v>5113311.4499999993</v>
      </c>
    </row>
    <row r="10" spans="1:3" x14ac:dyDescent="0.2">
      <c r="A10" t="s">
        <v>778</v>
      </c>
      <c r="B10" s="239">
        <v>8995263.1099999994</v>
      </c>
      <c r="C10" s="239">
        <v>4788661.24</v>
      </c>
    </row>
    <row r="11" spans="1:3" x14ac:dyDescent="0.2">
      <c r="A11" t="s">
        <v>779</v>
      </c>
      <c r="B11" s="239">
        <v>76104.150000000009</v>
      </c>
      <c r="C11" s="239">
        <v>55009.520000000004</v>
      </c>
    </row>
    <row r="12" spans="1:3" x14ac:dyDescent="0.2">
      <c r="A12" t="s">
        <v>780</v>
      </c>
      <c r="B12" s="239">
        <v>1138644.3700000001</v>
      </c>
      <c r="C12" s="239">
        <v>269640.69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10210011.629999999</v>
      </c>
      <c r="C13" s="230">
        <f>SUM(C10:C12)</f>
        <v>5113311.45</v>
      </c>
    </row>
    <row r="14" spans="1:3" x14ac:dyDescent="0.2">
      <c r="B14" s="229"/>
      <c r="C14" s="229"/>
    </row>
    <row r="15" spans="1:3" x14ac:dyDescent="0.2">
      <c r="B15" s="286" t="s">
        <v>782</v>
      </c>
      <c r="C15" s="286"/>
    </row>
    <row r="16" spans="1:3" x14ac:dyDescent="0.2">
      <c r="A16" s="238" t="s">
        <v>786</v>
      </c>
      <c r="B16" s="284" t="s">
        <v>706</v>
      </c>
      <c r="C16" s="285"/>
    </row>
    <row r="17" spans="1:3" x14ac:dyDescent="0.2">
      <c r="B17" s="227" t="s">
        <v>54</v>
      </c>
      <c r="C17" s="227" t="s">
        <v>775</v>
      </c>
    </row>
    <row r="18" spans="1:3" x14ac:dyDescent="0.2">
      <c r="A18" s="33" t="s">
        <v>776</v>
      </c>
      <c r="B18" s="228">
        <f>'DOE25'!F198+'DOE25'!F216+'DOE25'!F234+'DOE25'!F277+'DOE25'!F296+'DOE25'!F315</f>
        <v>3702022.35</v>
      </c>
      <c r="C18" s="228">
        <f>'DOE25'!G198+'DOE25'!G216+'DOE25'!G234+'DOE25'!G277+'DOE25'!G296+'DOE25'!G315</f>
        <v>1397297.36</v>
      </c>
    </row>
    <row r="19" spans="1:3" x14ac:dyDescent="0.2">
      <c r="A19" t="s">
        <v>778</v>
      </c>
      <c r="B19" s="239">
        <v>2094774.6800000002</v>
      </c>
      <c r="C19" s="239">
        <v>1011308.8199999997</v>
      </c>
    </row>
    <row r="20" spans="1:3" x14ac:dyDescent="0.2">
      <c r="A20" t="s">
        <v>779</v>
      </c>
      <c r="B20" s="239">
        <v>1544617.4500000002</v>
      </c>
      <c r="C20" s="239">
        <v>385074.09000000008</v>
      </c>
    </row>
    <row r="21" spans="1:3" x14ac:dyDescent="0.2">
      <c r="A21" t="s">
        <v>780</v>
      </c>
      <c r="B21" s="239">
        <v>62630.22</v>
      </c>
      <c r="C21" s="239">
        <v>914.45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3702022.3500000006</v>
      </c>
      <c r="C22" s="230">
        <f>SUM(C19:C21)</f>
        <v>1397297.3599999996</v>
      </c>
    </row>
    <row r="23" spans="1:3" x14ac:dyDescent="0.2">
      <c r="B23" s="229"/>
      <c r="C23" s="229"/>
    </row>
    <row r="24" spans="1:3" x14ac:dyDescent="0.2">
      <c r="B24" s="286" t="s">
        <v>782</v>
      </c>
      <c r="C24" s="286"/>
    </row>
    <row r="25" spans="1:3" x14ac:dyDescent="0.2">
      <c r="A25" s="238" t="s">
        <v>787</v>
      </c>
      <c r="B25" s="284" t="s">
        <v>707</v>
      </c>
      <c r="C25" s="285"/>
    </row>
    <row r="26" spans="1:3" x14ac:dyDescent="0.2">
      <c r="B26" s="227" t="s">
        <v>54</v>
      </c>
      <c r="C26" s="227" t="s">
        <v>775</v>
      </c>
    </row>
    <row r="27" spans="1:3" x14ac:dyDescent="0.2">
      <c r="A27" s="33" t="s">
        <v>776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778</v>
      </c>
      <c r="B28" s="239"/>
      <c r="C28" s="239"/>
    </row>
    <row r="29" spans="1:3" x14ac:dyDescent="0.2">
      <c r="A29" t="s">
        <v>779</v>
      </c>
      <c r="B29" s="239"/>
      <c r="C29" s="239"/>
    </row>
    <row r="30" spans="1:3" x14ac:dyDescent="0.2">
      <c r="A30" t="s">
        <v>780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86" t="s">
        <v>782</v>
      </c>
      <c r="C33" s="286"/>
    </row>
    <row r="34" spans="1:3" x14ac:dyDescent="0.2">
      <c r="A34" s="238" t="s">
        <v>788</v>
      </c>
      <c r="B34" s="284" t="s">
        <v>708</v>
      </c>
      <c r="C34" s="285"/>
    </row>
    <row r="35" spans="1:3" x14ac:dyDescent="0.2">
      <c r="B35" s="227" t="s">
        <v>54</v>
      </c>
      <c r="C35" s="227" t="s">
        <v>775</v>
      </c>
    </row>
    <row r="36" spans="1:3" x14ac:dyDescent="0.2">
      <c r="A36" s="33" t="s">
        <v>776</v>
      </c>
      <c r="B36" s="234">
        <f>'DOE25'!F200+'DOE25'!F218+'DOE25'!F236+'DOE25'!F279+'DOE25'!F298+'DOE25'!F317</f>
        <v>277344.42000000004</v>
      </c>
      <c r="C36" s="234">
        <f>'DOE25'!G200+'DOE25'!G218+'DOE25'!G236+'DOE25'!G279+'DOE25'!G298+'DOE25'!G317</f>
        <v>43874.52</v>
      </c>
    </row>
    <row r="37" spans="1:3" x14ac:dyDescent="0.2">
      <c r="A37" t="s">
        <v>778</v>
      </c>
      <c r="B37" s="239">
        <v>139072.32999999999</v>
      </c>
      <c r="C37" s="239">
        <v>32782.170000000013</v>
      </c>
    </row>
    <row r="38" spans="1:3" x14ac:dyDescent="0.2">
      <c r="A38" t="s">
        <v>779</v>
      </c>
      <c r="B38" s="239">
        <v>22818.260000000002</v>
      </c>
      <c r="C38" s="239">
        <v>2168.48</v>
      </c>
    </row>
    <row r="39" spans="1:3" x14ac:dyDescent="0.2">
      <c r="A39" t="s">
        <v>780</v>
      </c>
      <c r="B39" s="239">
        <v>115453.83</v>
      </c>
      <c r="C39" s="239">
        <v>8923.8700000000008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277344.42</v>
      </c>
      <c r="C40" s="230">
        <f>SUM(C37:C39)</f>
        <v>43874.520000000019</v>
      </c>
    </row>
    <row r="41" spans="1:3" x14ac:dyDescent="0.2">
      <c r="B41" s="229"/>
      <c r="C41" s="229"/>
    </row>
    <row r="42" spans="1:3" x14ac:dyDescent="0.2">
      <c r="A42" s="33" t="s">
        <v>836</v>
      </c>
      <c r="B42" s="229"/>
      <c r="C42" s="229"/>
    </row>
    <row r="43" spans="1:3" x14ac:dyDescent="0.2">
      <c r="A43" t="s">
        <v>840</v>
      </c>
      <c r="B43" s="229"/>
      <c r="C43" s="229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6" t="s">
        <v>789</v>
      </c>
      <c r="B1" s="291"/>
      <c r="C1" s="291"/>
      <c r="D1" s="291"/>
      <c r="E1" s="291"/>
      <c r="F1" s="291"/>
      <c r="G1" s="291"/>
      <c r="H1" s="291"/>
      <c r="I1" s="180"/>
    </row>
    <row r="2" spans="1:9" x14ac:dyDescent="0.2">
      <c r="A2" s="33" t="s">
        <v>716</v>
      </c>
      <c r="B2" s="264" t="str">
        <f>'DOE25'!A2</f>
        <v>Kearsarge Regional</v>
      </c>
      <c r="C2" s="180"/>
      <c r="D2" s="180" t="s">
        <v>791</v>
      </c>
      <c r="E2" s="180" t="s">
        <v>793</v>
      </c>
      <c r="F2" s="288" t="s">
        <v>820</v>
      </c>
      <c r="G2" s="289"/>
      <c r="H2" s="290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792</v>
      </c>
      <c r="E3" s="180" t="s">
        <v>794</v>
      </c>
      <c r="F3" s="240" t="s">
        <v>834</v>
      </c>
      <c r="G3" s="216" t="s">
        <v>59</v>
      </c>
      <c r="H3" s="241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4">
        <f t="shared" ref="C5:C19" si="0">SUM(D5:H5)</f>
        <v>23419399.390000001</v>
      </c>
      <c r="D5" s="20">
        <f>SUM('DOE25'!L197:L200)+SUM('DOE25'!L215:L218)+SUM('DOE25'!L233:L236)-F5-G5</f>
        <v>23021180.460000001</v>
      </c>
      <c r="E5" s="242"/>
      <c r="F5" s="254">
        <f>SUM('DOE25'!J197:J200)+SUM('DOE25'!J215:J218)+SUM('DOE25'!J233:J236)</f>
        <v>350559.15</v>
      </c>
      <c r="G5" s="53">
        <f>SUM('DOE25'!K197:K200)+SUM('DOE25'!K215:K218)+SUM('DOE25'!K233:K236)</f>
        <v>47659.78</v>
      </c>
      <c r="H5" s="258"/>
    </row>
    <row r="6" spans="1:9" x14ac:dyDescent="0.2">
      <c r="A6" s="32">
        <v>2100</v>
      </c>
      <c r="B6" t="s">
        <v>800</v>
      </c>
      <c r="C6" s="244">
        <f t="shared" si="0"/>
        <v>1641786.4699999997</v>
      </c>
      <c r="D6" s="20">
        <f>'DOE25'!L202+'DOE25'!L220+'DOE25'!L238-F6-G6</f>
        <v>1641605.4699999997</v>
      </c>
      <c r="E6" s="242"/>
      <c r="F6" s="254">
        <f>'DOE25'!J202+'DOE25'!J220+'DOE25'!J238</f>
        <v>74</v>
      </c>
      <c r="G6" s="53">
        <f>'DOE25'!K202+'DOE25'!K220+'DOE25'!K238</f>
        <v>107</v>
      </c>
      <c r="H6" s="258"/>
    </row>
    <row r="7" spans="1:9" x14ac:dyDescent="0.2">
      <c r="A7" s="32">
        <v>2200</v>
      </c>
      <c r="B7" t="s">
        <v>833</v>
      </c>
      <c r="C7" s="244">
        <f t="shared" si="0"/>
        <v>642159.55000000005</v>
      </c>
      <c r="D7" s="20">
        <f>'DOE25'!L203+'DOE25'!L221+'DOE25'!L239-F7-G7</f>
        <v>629885.72000000009</v>
      </c>
      <c r="E7" s="242"/>
      <c r="F7" s="254">
        <f>'DOE25'!J203+'DOE25'!J221+'DOE25'!J239</f>
        <v>12273.83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801</v>
      </c>
      <c r="C8" s="244">
        <f t="shared" si="0"/>
        <v>1135289.8799999999</v>
      </c>
      <c r="D8" s="242"/>
      <c r="E8" s="20">
        <f>'DOE25'!L204+'DOE25'!L222+'DOE25'!L240-F8-G8-D9-D11</f>
        <v>1113870.71</v>
      </c>
      <c r="F8" s="254">
        <f>'DOE25'!J204+'DOE25'!J222+'DOE25'!J240</f>
        <v>1185</v>
      </c>
      <c r="G8" s="53">
        <f>'DOE25'!K204+'DOE25'!K222+'DOE25'!K240</f>
        <v>20234.170000000002</v>
      </c>
      <c r="H8" s="258"/>
    </row>
    <row r="9" spans="1:9" x14ac:dyDescent="0.2">
      <c r="A9" s="32">
        <v>2310</v>
      </c>
      <c r="B9" t="s">
        <v>817</v>
      </c>
      <c r="C9" s="244">
        <f t="shared" si="0"/>
        <v>37353.53</v>
      </c>
      <c r="D9" s="243">
        <v>37353.53</v>
      </c>
      <c r="E9" s="242"/>
      <c r="F9" s="257"/>
      <c r="G9" s="255"/>
      <c r="H9" s="258"/>
    </row>
    <row r="10" spans="1:9" x14ac:dyDescent="0.2">
      <c r="A10" s="32">
        <v>2317</v>
      </c>
      <c r="B10" t="s">
        <v>818</v>
      </c>
      <c r="C10" s="244">
        <f t="shared" si="0"/>
        <v>37000</v>
      </c>
      <c r="D10" s="242"/>
      <c r="E10" s="243">
        <v>37000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4">
        <f t="shared" si="0"/>
        <v>493417.63</v>
      </c>
      <c r="D11" s="243">
        <v>493417.63</v>
      </c>
      <c r="E11" s="242"/>
      <c r="F11" s="257"/>
      <c r="G11" s="255"/>
      <c r="H11" s="258"/>
    </row>
    <row r="12" spans="1:9" x14ac:dyDescent="0.2">
      <c r="A12" s="32">
        <v>2400</v>
      </c>
      <c r="B12" t="s">
        <v>714</v>
      </c>
      <c r="C12" s="244">
        <f t="shared" si="0"/>
        <v>2180287.5499999998</v>
      </c>
      <c r="D12" s="20">
        <f>'DOE25'!L205+'DOE25'!L223+'DOE25'!L241-F12-G12</f>
        <v>2167538.04</v>
      </c>
      <c r="E12" s="242"/>
      <c r="F12" s="254">
        <f>'DOE25'!J205+'DOE25'!J223+'DOE25'!J241</f>
        <v>1038.71</v>
      </c>
      <c r="G12" s="53">
        <f>'DOE25'!K205+'DOE25'!K223+'DOE25'!K241</f>
        <v>11710.8</v>
      </c>
      <c r="H12" s="258"/>
    </row>
    <row r="13" spans="1:9" x14ac:dyDescent="0.2">
      <c r="A13" s="32">
        <v>2500</v>
      </c>
      <c r="B13" t="s">
        <v>802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831</v>
      </c>
      <c r="C14" s="244">
        <f t="shared" si="0"/>
        <v>3394473.2199999997</v>
      </c>
      <c r="D14" s="20">
        <f>'DOE25'!L207+'DOE25'!L225+'DOE25'!L243-F14-G14</f>
        <v>3383833.7699999996</v>
      </c>
      <c r="E14" s="242"/>
      <c r="F14" s="254">
        <f>'DOE25'!J207+'DOE25'!J225+'DOE25'!J243</f>
        <v>10639.45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803</v>
      </c>
      <c r="C15" s="244">
        <f t="shared" si="0"/>
        <v>2349875.79</v>
      </c>
      <c r="D15" s="20">
        <f>'DOE25'!L208+'DOE25'!L226+'DOE25'!L244-F15-G15</f>
        <v>2349875.79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4">
        <f t="shared" si="0"/>
        <v>17568.75</v>
      </c>
      <c r="D17" s="20">
        <f>'DOE25'!L251-F17-G17</f>
        <v>17568.75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4">
        <f>SUM(D22:H22)</f>
        <v>0</v>
      </c>
      <c r="D22" s="242"/>
      <c r="E22" s="242"/>
      <c r="F22" s="254">
        <f>'DOE25'!L255+'DOE25'!L336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4">
        <f>SUM(D25:H25)</f>
        <v>2099682.0499999998</v>
      </c>
      <c r="D25" s="242"/>
      <c r="E25" s="242"/>
      <c r="F25" s="257"/>
      <c r="G25" s="255"/>
      <c r="H25" s="256">
        <f>'DOE25'!L260+'DOE25'!L261+'DOE25'!L341+'DOE25'!L342</f>
        <v>2099682.0499999998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4">
        <f>SUM(D29:H29)</f>
        <v>589669.93000000005</v>
      </c>
      <c r="D29" s="20">
        <f>'DOE25'!L358+'DOE25'!L359+'DOE25'!L360-'DOE25'!I367-F29-G29</f>
        <v>585159.66</v>
      </c>
      <c r="E29" s="242"/>
      <c r="F29" s="254">
        <f>'DOE25'!J358+'DOE25'!J359+'DOE25'!J360</f>
        <v>4419.6499999999996</v>
      </c>
      <c r="G29" s="53">
        <f>'DOE25'!K358+'DOE25'!K359+'DOE25'!K360</f>
        <v>90.61999999999999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4">
        <f>SUM(D31:H31)</f>
        <v>964873.13</v>
      </c>
      <c r="D31" s="20">
        <f>'DOE25'!L290+'DOE25'!L309+'DOE25'!L328+'DOE25'!L333+'DOE25'!L334+'DOE25'!L335-F31-G31</f>
        <v>828823.1</v>
      </c>
      <c r="E31" s="242"/>
      <c r="F31" s="254">
        <f>'DOE25'!J290+'DOE25'!J309+'DOE25'!J328+'DOE25'!J333+'DOE25'!J334+'DOE25'!J335</f>
        <v>112073.5</v>
      </c>
      <c r="G31" s="53">
        <f>'DOE25'!K290+'DOE25'!K309+'DOE25'!K328+'DOE25'!K333+'DOE25'!K334+'DOE25'!K335</f>
        <v>23976.530000000002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5">
        <f>SUM(D5:D31)</f>
        <v>35156241.919999994</v>
      </c>
      <c r="E33" s="245">
        <f>SUM(E5:E31)</f>
        <v>1150870.71</v>
      </c>
      <c r="F33" s="245">
        <f>SUM(F5:F31)</f>
        <v>492263.2900000001</v>
      </c>
      <c r="G33" s="245">
        <f>SUM(G5:G31)</f>
        <v>103778.9</v>
      </c>
      <c r="H33" s="245">
        <f>SUM(H5:H31)</f>
        <v>2099682.0499999998</v>
      </c>
    </row>
    <row r="35" spans="2:8" ht="12" thickBot="1" x14ac:dyDescent="0.25">
      <c r="B35" s="252" t="s">
        <v>846</v>
      </c>
      <c r="D35" s="253">
        <f>E33</f>
        <v>1150870.71</v>
      </c>
      <c r="E35" s="248"/>
    </row>
    <row r="36" spans="2:8" ht="12" thickTop="1" x14ac:dyDescent="0.2">
      <c r="B36" t="s">
        <v>814</v>
      </c>
      <c r="D36" s="20">
        <f>D33</f>
        <v>35156241.919999994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823</v>
      </c>
      <c r="D39" s="180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C42" sqref="C4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Kearsarge Regional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2402888.19</v>
      </c>
      <c r="D8" s="95">
        <f>'DOE25'!G9</f>
        <v>0</v>
      </c>
      <c r="E8" s="95">
        <f>'DOE25'!H9</f>
        <v>0</v>
      </c>
      <c r="F8" s="95">
        <f>'DOE25'!I9</f>
        <v>152183.5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2718167.96</v>
      </c>
      <c r="D9" s="95">
        <f>'DOE25'!G10</f>
        <v>449531.74</v>
      </c>
      <c r="E9" s="95">
        <f>'DOE25'!H10</f>
        <v>0</v>
      </c>
      <c r="F9" s="95">
        <f>'DOE25'!I10</f>
        <v>0</v>
      </c>
      <c r="G9" s="95">
        <f>'DOE25'!J10</f>
        <v>1975827.07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738975.06</v>
      </c>
      <c r="D11" s="95">
        <f>'DOE25'!G12</f>
        <v>36988.54</v>
      </c>
      <c r="E11" s="95">
        <f>'DOE25'!H12</f>
        <v>315453.03999999998</v>
      </c>
      <c r="F11" s="95">
        <f>'DOE25'!I12</f>
        <v>0</v>
      </c>
      <c r="G11" s="95">
        <f>'DOE25'!J12</f>
        <v>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273934.83</v>
      </c>
      <c r="D12" s="95">
        <f>'DOE25'!G13</f>
        <v>47127.59</v>
      </c>
      <c r="E12" s="95">
        <f>'DOE25'!H13</f>
        <v>295087.75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59719.8</v>
      </c>
      <c r="D15" s="95">
        <f>'DOE25'!G16</f>
        <v>18497.38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17376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6211061.8400000008</v>
      </c>
      <c r="D18" s="41">
        <f>SUM(D8:D17)</f>
        <v>552145.25</v>
      </c>
      <c r="E18" s="41">
        <f>SUM(E8:E17)</f>
        <v>610540.79</v>
      </c>
      <c r="F18" s="41">
        <f>SUM(F8:F17)</f>
        <v>152183.5</v>
      </c>
      <c r="G18" s="41">
        <f>SUM(G8:G17)</f>
        <v>1975829.07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312144.19</v>
      </c>
      <c r="D21" s="95">
        <f>'DOE25'!G22</f>
        <v>516845.21</v>
      </c>
      <c r="E21" s="95">
        <f>'DOE25'!H22</f>
        <v>211697.24</v>
      </c>
      <c r="F21" s="95">
        <f>'DOE25'!I22</f>
        <v>45732</v>
      </c>
      <c r="G21" s="95">
        <f>'DOE25'!J22</f>
        <v>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351954.94</v>
      </c>
      <c r="D23" s="95">
        <f>'DOE25'!G24</f>
        <v>543.75</v>
      </c>
      <c r="E23" s="95">
        <f>'DOE25'!H24</f>
        <v>11642.75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1328748.6400000001</v>
      </c>
      <c r="D27" s="95">
        <f>'DOE25'!G28</f>
        <v>0</v>
      </c>
      <c r="E27" s="95">
        <f>'DOE25'!H28</f>
        <v>41192.519999999997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19386.590000000004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30407.29</v>
      </c>
      <c r="D29" s="95">
        <f>'DOE25'!G30</f>
        <v>16258.91</v>
      </c>
      <c r="E29" s="95">
        <f>'DOE25'!H30</f>
        <v>346008.28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2042641.6500000001</v>
      </c>
      <c r="D31" s="41">
        <f>SUM(D21:D30)</f>
        <v>533647.87</v>
      </c>
      <c r="E31" s="41">
        <f>SUM(E21:E30)</f>
        <v>610540.79</v>
      </c>
      <c r="F31" s="41">
        <f>SUM(F21:F30)</f>
        <v>45732</v>
      </c>
      <c r="G31" s="41">
        <f>SUM(G21:G30)</f>
        <v>5000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59719.8</v>
      </c>
      <c r="D34" s="95">
        <f>'DOE25'!G35</f>
        <v>18497.38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17376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872823.24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837783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106451.5</v>
      </c>
      <c r="G47" s="95">
        <f>'DOE25'!J48</f>
        <v>1970829.07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2305718.15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4168420.19</v>
      </c>
      <c r="D50" s="41">
        <f>SUM(D34:D49)</f>
        <v>18497.38</v>
      </c>
      <c r="E50" s="41">
        <f>SUM(E34:E49)</f>
        <v>0</v>
      </c>
      <c r="F50" s="41">
        <f>SUM(F34:F49)</f>
        <v>106451.5</v>
      </c>
      <c r="G50" s="41">
        <f>SUM(G34:G49)</f>
        <v>1970829.07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6211061.8399999999</v>
      </c>
      <c r="D51" s="41">
        <f>D50+D31</f>
        <v>552145.25</v>
      </c>
      <c r="E51" s="41">
        <f>E50+E31</f>
        <v>610540.79</v>
      </c>
      <c r="F51" s="41">
        <f>F50+F31</f>
        <v>152183.5</v>
      </c>
      <c r="G51" s="41">
        <f>G50+G31</f>
        <v>1975829.07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26505673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70510.490000000005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40304.720000000001</v>
      </c>
      <c r="D59" s="95">
        <f>'DOE25'!G96</f>
        <v>3038.03</v>
      </c>
      <c r="E59" s="95">
        <f>'DOE25'!H96</f>
        <v>0</v>
      </c>
      <c r="F59" s="95">
        <f>'DOE25'!I96</f>
        <v>1028.47</v>
      </c>
      <c r="G59" s="95">
        <f>'DOE25'!J96</f>
        <v>9186.5400000000009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364458.61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135469.72</v>
      </c>
      <c r="D61" s="95">
        <f>SUM('DOE25'!G98:G110)</f>
        <v>43184.34</v>
      </c>
      <c r="E61" s="95">
        <f>SUM('DOE25'!H98:H110)</f>
        <v>69529.33</v>
      </c>
      <c r="F61" s="95">
        <f>SUM('DOE25'!I98:I110)</f>
        <v>0</v>
      </c>
      <c r="G61" s="95">
        <f>SUM('DOE25'!J98:J110)</f>
        <v>37543.870000000003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246284.93</v>
      </c>
      <c r="D62" s="130">
        <f>SUM(D57:D61)</f>
        <v>410680.98</v>
      </c>
      <c r="E62" s="130">
        <f>SUM(E57:E61)</f>
        <v>69529.33</v>
      </c>
      <c r="F62" s="130">
        <f>SUM(F57:F61)</f>
        <v>1028.47</v>
      </c>
      <c r="G62" s="130">
        <f>SUM(G57:G61)</f>
        <v>46730.41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26751957.93</v>
      </c>
      <c r="D63" s="22">
        <f>D56+D62</f>
        <v>410680.98</v>
      </c>
      <c r="E63" s="22">
        <f>E56+E62</f>
        <v>69529.33</v>
      </c>
      <c r="F63" s="22">
        <f>F56+F62</f>
        <v>1028.47</v>
      </c>
      <c r="G63" s="22">
        <f>G56+G62</f>
        <v>46730.41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2874073.51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7005638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92646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9972357.5099999998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750359.26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656922.04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37950.800000000003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6186.71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1445232.1</v>
      </c>
      <c r="D78" s="130">
        <f>SUM(D72:D77)</f>
        <v>6186.71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11417589.609999999</v>
      </c>
      <c r="D81" s="130">
        <f>SUM(D79:D80)+D78+D70</f>
        <v>6186.71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440855.31</v>
      </c>
      <c r="D88" s="95">
        <f>SUM('DOE25'!G153:G161)</f>
        <v>209040.8</v>
      </c>
      <c r="E88" s="95">
        <f>SUM('DOE25'!H153:H161)</f>
        <v>895343.8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440855.31</v>
      </c>
      <c r="D91" s="131">
        <f>SUM(D85:D90)</f>
        <v>209040.8</v>
      </c>
      <c r="E91" s="131">
        <f>SUM(E85:E90)</f>
        <v>895343.8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57732.74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3245.11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60977.85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38671380.700000003</v>
      </c>
      <c r="D104" s="86">
        <f>D63+D81+D91+D103</f>
        <v>625908.49</v>
      </c>
      <c r="E104" s="86">
        <f>E63+E81+E91+E103</f>
        <v>964873.13</v>
      </c>
      <c r="F104" s="86">
        <f>F63+F81+F91+F103</f>
        <v>1028.47</v>
      </c>
      <c r="G104" s="86">
        <f>G63+G81+G103</f>
        <v>121730.41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16396558.059999999</v>
      </c>
      <c r="D109" s="24" t="s">
        <v>288</v>
      </c>
      <c r="E109" s="95">
        <f>('DOE25'!L276)+('DOE25'!L295)+('DOE25'!L314)</f>
        <v>319980.73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6472535.0799999991</v>
      </c>
      <c r="D110" s="24" t="s">
        <v>288</v>
      </c>
      <c r="E110" s="95">
        <f>('DOE25'!L277)+('DOE25'!L296)+('DOE25'!L315)</f>
        <v>322908.36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76279.88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474026.37</v>
      </c>
      <c r="D112" s="24" t="s">
        <v>288</v>
      </c>
      <c r="E112" s="95">
        <f>+('DOE25'!L279)+('DOE25'!L298)+('DOE25'!L317)</f>
        <v>6361.62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17568.75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23436968.139999997</v>
      </c>
      <c r="D115" s="86">
        <f>SUM(D109:D114)</f>
        <v>0</v>
      </c>
      <c r="E115" s="86">
        <f>SUM(E109:E114)</f>
        <v>649250.71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1641786.4699999997</v>
      </c>
      <c r="D118" s="24" t="s">
        <v>288</v>
      </c>
      <c r="E118" s="95">
        <f>+('DOE25'!L281)+('DOE25'!L300)+('DOE25'!L319)</f>
        <v>122013.71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642159.55000000005</v>
      </c>
      <c r="D119" s="24" t="s">
        <v>288</v>
      </c>
      <c r="E119" s="95">
        <f>+('DOE25'!L282)+('DOE25'!L301)+('DOE25'!L320)</f>
        <v>157132.18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1666061.04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2180287.5499999998</v>
      </c>
      <c r="D121" s="24" t="s">
        <v>288</v>
      </c>
      <c r="E121" s="95">
        <f>+('DOE25'!L284)+('DOE25'!L303)+('DOE25'!L322)</f>
        <v>12500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3394473.2199999997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2349875.79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23976.530000000002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622663.38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11874643.619999997</v>
      </c>
      <c r="D128" s="86">
        <f>SUM(D118:D127)</f>
        <v>622663.38</v>
      </c>
      <c r="E128" s="86">
        <f>SUM(E118:E127)</f>
        <v>315622.42000000004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1322284.6299999999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777397.42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3245.11</v>
      </c>
      <c r="E134" s="95">
        <f>'DOE25'!L344</f>
        <v>0</v>
      </c>
      <c r="F134" s="95">
        <f>'DOE25'!K381</f>
        <v>0</v>
      </c>
      <c r="G134" s="95">
        <f>'DOE25'!K434</f>
        <v>33128.57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121730.41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-46730.41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2174682.0499999998</v>
      </c>
      <c r="D144" s="141">
        <f>SUM(D130:D143)</f>
        <v>3245.11</v>
      </c>
      <c r="E144" s="141">
        <f>SUM(E130:E143)</f>
        <v>0</v>
      </c>
      <c r="F144" s="141">
        <f>SUM(F130:F143)</f>
        <v>0</v>
      </c>
      <c r="G144" s="141">
        <f>SUM(G130:G143)</f>
        <v>33128.57</v>
      </c>
    </row>
    <row r="145" spans="1:9" ht="12.75" thickTop="1" thickBot="1" x14ac:dyDescent="0.25">
      <c r="A145" s="33" t="s">
        <v>244</v>
      </c>
      <c r="C145" s="86">
        <f>(C115+C128+C144)</f>
        <v>37486293.809999987</v>
      </c>
      <c r="D145" s="86">
        <f>(D115+D128+D144)</f>
        <v>625908.49</v>
      </c>
      <c r="E145" s="86">
        <f>(E115+E128+E144)</f>
        <v>964873.13</v>
      </c>
      <c r="F145" s="86">
        <f>(F115+F128+F144)</f>
        <v>0</v>
      </c>
      <c r="G145" s="86">
        <f>(G115+G128+G144)</f>
        <v>33128.57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08/06</v>
      </c>
      <c r="C152" s="152" t="str">
        <f>'DOE25'!G491</f>
        <v>11/10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08/26</v>
      </c>
      <c r="C153" s="152" t="str">
        <f>'DOE25'!G492</f>
        <v>7/25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24450150</v>
      </c>
      <c r="C154" s="137">
        <f>'DOE25'!G493</f>
        <v>2231283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4.6100000000000003</v>
      </c>
      <c r="C155" s="137">
        <f>'DOE25'!G494</f>
        <v>4.375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10357141.85</v>
      </c>
      <c r="C156" s="137">
        <f>'DOE25'!G495</f>
        <v>1487522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11844663.85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1173532.43</v>
      </c>
      <c r="C158" s="137">
        <f>'DOE25'!G497</f>
        <v>148752.20000000001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1322284.6299999999</v>
      </c>
    </row>
    <row r="159" spans="1:9" x14ac:dyDescent="0.2">
      <c r="A159" s="22" t="s">
        <v>35</v>
      </c>
      <c r="B159" s="137">
        <f>'DOE25'!F498</f>
        <v>9183609.4199999999</v>
      </c>
      <c r="C159" s="137">
        <f>'DOE25'!G498</f>
        <v>1338769.8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10522379.220000001</v>
      </c>
    </row>
    <row r="160" spans="1:9" x14ac:dyDescent="0.2">
      <c r="A160" s="22" t="s">
        <v>36</v>
      </c>
      <c r="B160" s="137">
        <f>'DOE25'!F499</f>
        <v>8843765.6099999994</v>
      </c>
      <c r="C160" s="137">
        <f>'DOE25'!G499</f>
        <v>263472.27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9107237.879999999</v>
      </c>
    </row>
    <row r="161" spans="1:7" x14ac:dyDescent="0.2">
      <c r="A161" s="22" t="s">
        <v>37</v>
      </c>
      <c r="B161" s="137">
        <f>'DOE25'!F500</f>
        <v>18027375.030000001</v>
      </c>
      <c r="C161" s="137">
        <f>'DOE25'!G500</f>
        <v>1602242.07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19629617.100000001</v>
      </c>
    </row>
    <row r="162" spans="1:7" x14ac:dyDescent="0.2">
      <c r="A162" s="22" t="s">
        <v>38</v>
      </c>
      <c r="B162" s="137">
        <f>'DOE25'!F501</f>
        <v>1070586.78</v>
      </c>
      <c r="C162" s="137">
        <f>'DOE25'!G501</f>
        <v>148752.20000000001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1219338.98</v>
      </c>
    </row>
    <row r="163" spans="1:7" x14ac:dyDescent="0.2">
      <c r="A163" s="22" t="s">
        <v>39</v>
      </c>
      <c r="B163" s="137">
        <f>'DOE25'!F502</f>
        <v>798710.72</v>
      </c>
      <c r="C163" s="137">
        <f>'DOE25'!G502</f>
        <v>55290.479999999996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854001.2</v>
      </c>
    </row>
    <row r="164" spans="1:7" x14ac:dyDescent="0.2">
      <c r="A164" s="22" t="s">
        <v>246</v>
      </c>
      <c r="B164" s="137">
        <f>'DOE25'!F503</f>
        <v>1869297.5</v>
      </c>
      <c r="C164" s="137">
        <f>'DOE25'!G503</f>
        <v>204042.68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2073340.18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6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92" t="s">
        <v>739</v>
      </c>
      <c r="B1" s="292"/>
      <c r="C1" s="292"/>
      <c r="D1" s="292"/>
    </row>
    <row r="2" spans="1:4" x14ac:dyDescent="0.2">
      <c r="A2" s="186" t="s">
        <v>716</v>
      </c>
      <c r="B2" s="185" t="str">
        <f>'DOE25'!A2</f>
        <v>Kearsarge Regional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16422</v>
      </c>
    </row>
    <row r="5" spans="1:4" x14ac:dyDescent="0.2">
      <c r="B5" t="s">
        <v>703</v>
      </c>
      <c r="C5" s="178">
        <f>IF('DOE25'!G665+'DOE25'!G670=0,0,ROUND('DOE25'!G672,0))</f>
        <v>20948</v>
      </c>
    </row>
    <row r="6" spans="1:4" x14ac:dyDescent="0.2">
      <c r="B6" t="s">
        <v>62</v>
      </c>
      <c r="C6" s="178">
        <f>IF('DOE25'!H665+'DOE25'!H670=0,0,ROUND('DOE25'!H672,0))</f>
        <v>19516</v>
      </c>
    </row>
    <row r="7" spans="1:4" x14ac:dyDescent="0.2">
      <c r="B7" t="s">
        <v>704</v>
      </c>
      <c r="C7" s="178">
        <f>IF('DOE25'!I665+'DOE25'!I670=0,0,ROUND('DOE25'!I672,0))</f>
        <v>18465</v>
      </c>
    </row>
    <row r="9" spans="1:4" x14ac:dyDescent="0.2">
      <c r="A9" s="186" t="s">
        <v>94</v>
      </c>
      <c r="B9" s="187" t="s">
        <v>909</v>
      </c>
      <c r="C9" s="180" t="s">
        <v>723</v>
      </c>
      <c r="D9" s="180" t="s">
        <v>724</v>
      </c>
    </row>
    <row r="10" spans="1:4" x14ac:dyDescent="0.2">
      <c r="A10">
        <v>1100</v>
      </c>
      <c r="B10" t="s">
        <v>705</v>
      </c>
      <c r="C10" s="178">
        <f>ROUND('DOE25'!L197+'DOE25'!L215+'DOE25'!L233+'DOE25'!L276+'DOE25'!L295+'DOE25'!L314,0)</f>
        <v>16716539</v>
      </c>
      <c r="D10" s="181">
        <f>ROUND((C10/$C$28)*100,1)</f>
        <v>44.9</v>
      </c>
    </row>
    <row r="11" spans="1:4" x14ac:dyDescent="0.2">
      <c r="A11">
        <v>1200</v>
      </c>
      <c r="B11" t="s">
        <v>706</v>
      </c>
      <c r="C11" s="178">
        <f>ROUND('DOE25'!L198+'DOE25'!L216+'DOE25'!L234+'DOE25'!L277+'DOE25'!L296+'DOE25'!L315,0)</f>
        <v>6795443</v>
      </c>
      <c r="D11" s="181">
        <f>ROUND((C11/$C$28)*100,1)</f>
        <v>18.2</v>
      </c>
    </row>
    <row r="12" spans="1:4" x14ac:dyDescent="0.2">
      <c r="A12">
        <v>1300</v>
      </c>
      <c r="B12" t="s">
        <v>707</v>
      </c>
      <c r="C12" s="178">
        <f>ROUND('DOE25'!L199+'DOE25'!L217+'DOE25'!L235+'DOE25'!L278+'DOE25'!L297+'DOE25'!L316,0)</f>
        <v>76280</v>
      </c>
      <c r="D12" s="181">
        <f>ROUND((C12/$C$28)*100,1)</f>
        <v>0.2</v>
      </c>
    </row>
    <row r="13" spans="1:4" x14ac:dyDescent="0.2">
      <c r="A13">
        <v>1400</v>
      </c>
      <c r="B13" t="s">
        <v>708</v>
      </c>
      <c r="C13" s="178">
        <f>ROUND('DOE25'!L200+'DOE25'!L218+'DOE25'!L236+'DOE25'!L279+'DOE25'!L298+'DOE25'!L317,0)</f>
        <v>480388</v>
      </c>
      <c r="D13" s="181">
        <f>ROUND((C13/$C$28)*100,1)</f>
        <v>1.3</v>
      </c>
    </row>
    <row r="14" spans="1:4" x14ac:dyDescent="0.2">
      <c r="D14" s="181"/>
    </row>
    <row r="15" spans="1:4" x14ac:dyDescent="0.2">
      <c r="A15">
        <v>2100</v>
      </c>
      <c r="B15" t="s">
        <v>709</v>
      </c>
      <c r="C15" s="178">
        <f>ROUND('DOE25'!L202+'DOE25'!L220+'DOE25'!L238+'DOE25'!L281+'DOE25'!L300+'DOE25'!L319,0)</f>
        <v>1763800</v>
      </c>
      <c r="D15" s="181">
        <f t="shared" ref="D15:D27" si="0">ROUND((C15/$C$28)*100,1)</f>
        <v>4.7</v>
      </c>
    </row>
    <row r="16" spans="1:4" x14ac:dyDescent="0.2">
      <c r="A16">
        <v>2200</v>
      </c>
      <c r="B16" t="s">
        <v>710</v>
      </c>
      <c r="C16" s="178">
        <f>ROUND('DOE25'!L203+'DOE25'!L221+'DOE25'!L239+'DOE25'!L282+'DOE25'!L301+'DOE25'!L320,0)</f>
        <v>799292</v>
      </c>
      <c r="D16" s="181">
        <f t="shared" si="0"/>
        <v>2.1</v>
      </c>
    </row>
    <row r="17" spans="1:4" x14ac:dyDescent="0.2">
      <c r="A17" s="182" t="s">
        <v>726</v>
      </c>
      <c r="B17" t="s">
        <v>741</v>
      </c>
      <c r="C17" s="178">
        <f>ROUND('DOE25'!L204+'DOE25'!L209+'DOE25'!L222+'DOE25'!L227+'DOE25'!L240+'DOE25'!L245+'DOE25'!L283+'DOE25'!L288+'DOE25'!L302+'DOE25'!L307+'DOE25'!L321+'DOE25'!L326,0)</f>
        <v>1690038</v>
      </c>
      <c r="D17" s="181">
        <f t="shared" si="0"/>
        <v>4.5</v>
      </c>
    </row>
    <row r="18" spans="1:4" x14ac:dyDescent="0.2">
      <c r="A18">
        <v>2400</v>
      </c>
      <c r="B18" t="s">
        <v>714</v>
      </c>
      <c r="C18" s="178">
        <f>ROUND('DOE25'!L205+'DOE25'!L223+'DOE25'!L241+'DOE25'!L284+'DOE25'!L303+'DOE25'!L322,0)</f>
        <v>2192788</v>
      </c>
      <c r="D18" s="181">
        <f t="shared" si="0"/>
        <v>5.9</v>
      </c>
    </row>
    <row r="19" spans="1:4" x14ac:dyDescent="0.2">
      <c r="A19">
        <v>2500</v>
      </c>
      <c r="B19" t="s">
        <v>711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712</v>
      </c>
      <c r="C20" s="178">
        <f>ROUND('DOE25'!L207+'DOE25'!L225+'DOE25'!L243+'DOE25'!L286+'DOE25'!L305+'DOE25'!L324,0)</f>
        <v>3394473</v>
      </c>
      <c r="D20" s="181">
        <f t="shared" si="0"/>
        <v>9.1</v>
      </c>
    </row>
    <row r="21" spans="1:4" x14ac:dyDescent="0.2">
      <c r="A21">
        <v>2700</v>
      </c>
      <c r="B21" t="s">
        <v>713</v>
      </c>
      <c r="C21" s="178">
        <f>ROUND('DOE25'!L208+'DOE25'!L226+'DOE25'!L244+'DOE25'!L287+'DOE25'!L306+'DOE25'!L325,0)</f>
        <v>2349876</v>
      </c>
      <c r="D21" s="181">
        <f t="shared" si="0"/>
        <v>6.3</v>
      </c>
    </row>
    <row r="22" spans="1:4" x14ac:dyDescent="0.2">
      <c r="A22">
        <v>2900</v>
      </c>
      <c r="B22" t="s">
        <v>715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717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725</v>
      </c>
      <c r="B24" t="s">
        <v>718</v>
      </c>
      <c r="C24" s="178">
        <f>ROUND('DOE25'!L251+'DOE25'!L252+'DOE25'!L253+'DOE25'!L254+'DOE25'!L333+'DOE25'!L334+'DOE25'!L335,0)</f>
        <v>17569</v>
      </c>
      <c r="D24" s="181">
        <f t="shared" si="0"/>
        <v>0</v>
      </c>
    </row>
    <row r="25" spans="1:4" x14ac:dyDescent="0.2">
      <c r="A25">
        <v>5120</v>
      </c>
      <c r="B25" t="s">
        <v>719</v>
      </c>
      <c r="C25" s="178">
        <f>ROUND('DOE25'!L261+'DOE25'!L342,0)</f>
        <v>777397</v>
      </c>
      <c r="D25" s="181">
        <f t="shared" si="0"/>
        <v>2.1</v>
      </c>
    </row>
    <row r="26" spans="1:4" x14ac:dyDescent="0.2">
      <c r="A26" s="182" t="s">
        <v>720</v>
      </c>
      <c r="B26" t="s">
        <v>721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215020.05000000005</v>
      </c>
      <c r="D27" s="181">
        <f t="shared" si="0"/>
        <v>0.6</v>
      </c>
    </row>
    <row r="28" spans="1:4" x14ac:dyDescent="0.2">
      <c r="B28" s="186" t="s">
        <v>722</v>
      </c>
      <c r="C28" s="179">
        <f>SUM(C10:C27)</f>
        <v>37268903.049999997</v>
      </c>
      <c r="D28" s="183">
        <f>ROUND(SUM(D10:D27),0)</f>
        <v>100</v>
      </c>
    </row>
    <row r="29" spans="1:4" x14ac:dyDescent="0.2">
      <c r="A29">
        <v>4000</v>
      </c>
      <c r="B29" t="s">
        <v>727</v>
      </c>
      <c r="C29" s="178">
        <f>ROUND('DOE25'!L255+'DOE25'!L336+'DOE25'!L374+'DOE25'!L375+'DOE25'!L376+'DOE25'!L377+'DOE25'!L378+'DOE25'!L379+'DOE25'!L380,0)</f>
        <v>0</v>
      </c>
    </row>
    <row r="30" spans="1:4" x14ac:dyDescent="0.2">
      <c r="B30" s="186" t="s">
        <v>728</v>
      </c>
      <c r="C30" s="179">
        <f>SUM(C28:C29)</f>
        <v>37268903.049999997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729</v>
      </c>
      <c r="C32" s="179">
        <f>ROUND('DOE25'!L260+'DOE25'!L341,0)</f>
        <v>1322285</v>
      </c>
    </row>
    <row r="34" spans="1:4" x14ac:dyDescent="0.2">
      <c r="A34" s="186" t="s">
        <v>94</v>
      </c>
      <c r="B34" s="187" t="s">
        <v>910</v>
      </c>
      <c r="C34" s="180" t="s">
        <v>723</v>
      </c>
      <c r="D34" s="180" t="s">
        <v>724</v>
      </c>
    </row>
    <row r="35" spans="1:4" x14ac:dyDescent="0.2">
      <c r="A35">
        <v>1100</v>
      </c>
      <c r="B35" s="184" t="s">
        <v>730</v>
      </c>
      <c r="C35" s="178">
        <f>ROUND('DOE25'!F60+'DOE25'!G60+'DOE25'!H60+'DOE25'!I60+'DOE25'!J60,0)</f>
        <v>26505673</v>
      </c>
      <c r="D35" s="181">
        <f t="shared" ref="D35:D40" si="1">ROUND((C35/$C$41)*100,1)</f>
        <v>66.5</v>
      </c>
    </row>
    <row r="36" spans="1:4" x14ac:dyDescent="0.2">
      <c r="B36" s="184" t="s">
        <v>742</v>
      </c>
      <c r="C36" s="178">
        <f>SUM('DOE25'!F112:J112)-SUM('DOE25'!G97:G110)+('DOE25'!F174+'DOE25'!F175+'DOE25'!I174+'DOE25'!I175)-C35</f>
        <v>366611.16999999806</v>
      </c>
      <c r="D36" s="181">
        <f t="shared" si="1"/>
        <v>0.9</v>
      </c>
    </row>
    <row r="37" spans="1:4" x14ac:dyDescent="0.2">
      <c r="A37" s="182" t="s">
        <v>850</v>
      </c>
      <c r="B37" s="184" t="s">
        <v>731</v>
      </c>
      <c r="C37" s="178">
        <f>ROUND('DOE25'!F117+'DOE25'!F118,0)</f>
        <v>9879712</v>
      </c>
      <c r="D37" s="181">
        <f t="shared" si="1"/>
        <v>24.8</v>
      </c>
    </row>
    <row r="38" spans="1:4" x14ac:dyDescent="0.2">
      <c r="A38" s="182" t="s">
        <v>737</v>
      </c>
      <c r="B38" s="184" t="s">
        <v>732</v>
      </c>
      <c r="C38" s="178">
        <f>ROUND(SUM('DOE25'!F140:J140)-SUM('DOE25'!F117:F119),0)</f>
        <v>1544065</v>
      </c>
      <c r="D38" s="181">
        <f t="shared" si="1"/>
        <v>3.9</v>
      </c>
    </row>
    <row r="39" spans="1:4" x14ac:dyDescent="0.2">
      <c r="A39">
        <v>4000</v>
      </c>
      <c r="B39" s="184" t="s">
        <v>733</v>
      </c>
      <c r="C39" s="178">
        <f>ROUND('DOE25'!F169+'DOE25'!G169+'DOE25'!H169+'DOE25'!I169,0)</f>
        <v>1545240</v>
      </c>
      <c r="D39" s="181">
        <f t="shared" si="1"/>
        <v>3.9</v>
      </c>
    </row>
    <row r="40" spans="1:4" x14ac:dyDescent="0.2">
      <c r="A40" s="182" t="s">
        <v>738</v>
      </c>
      <c r="B40" s="184" t="s">
        <v>734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735</v>
      </c>
      <c r="C41" s="179">
        <f>SUM(C35:C40)</f>
        <v>39841301.170000002</v>
      </c>
      <c r="D41" s="183">
        <f>SUM(D35:D40)</f>
        <v>100.00000000000001</v>
      </c>
    </row>
    <row r="42" spans="1:4" x14ac:dyDescent="0.2">
      <c r="A42" s="182" t="s">
        <v>740</v>
      </c>
      <c r="B42" s="184" t="s">
        <v>736</v>
      </c>
      <c r="C42" s="178">
        <f>ROUND('DOE25'!F173+'DOE25'!I173+'DOE25'!F176+'DOE25'!I176,0)</f>
        <v>57733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12" sqref="A12:M1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7" t="s">
        <v>769</v>
      </c>
      <c r="B1" s="298"/>
      <c r="C1" s="298"/>
      <c r="D1" s="298"/>
      <c r="E1" s="298"/>
      <c r="F1" s="298"/>
      <c r="G1" s="298"/>
      <c r="H1" s="298"/>
      <c r="I1" s="298"/>
      <c r="J1" s="212"/>
      <c r="K1" s="212"/>
      <c r="L1" s="212"/>
      <c r="M1" s="213"/>
    </row>
    <row r="2" spans="1:26" ht="12.75" x14ac:dyDescent="0.2">
      <c r="A2" s="303" t="s">
        <v>766</v>
      </c>
      <c r="B2" s="304"/>
      <c r="C2" s="304"/>
      <c r="D2" s="304"/>
      <c r="E2" s="304"/>
      <c r="F2" s="301" t="str">
        <f>'DOE25'!A2</f>
        <v>Kearsarge Regional</v>
      </c>
      <c r="G2" s="302"/>
      <c r="H2" s="302"/>
      <c r="I2" s="302"/>
      <c r="J2" s="52"/>
      <c r="K2" s="52"/>
      <c r="L2" s="52"/>
      <c r="M2" s="214"/>
    </row>
    <row r="3" spans="1:26" x14ac:dyDescent="0.2">
      <c r="A3" s="215" t="s">
        <v>767</v>
      </c>
      <c r="B3" s="216" t="s">
        <v>768</v>
      </c>
      <c r="C3" s="299" t="s">
        <v>770</v>
      </c>
      <c r="D3" s="299"/>
      <c r="E3" s="299"/>
      <c r="F3" s="299"/>
      <c r="G3" s="299"/>
      <c r="H3" s="299"/>
      <c r="I3" s="299"/>
      <c r="J3" s="299"/>
      <c r="K3" s="299"/>
      <c r="L3" s="299"/>
      <c r="M3" s="300"/>
    </row>
    <row r="4" spans="1:26" x14ac:dyDescent="0.2">
      <c r="A4" s="217"/>
      <c r="B4" s="218"/>
      <c r="C4" s="295" t="s">
        <v>920</v>
      </c>
      <c r="D4" s="295"/>
      <c r="E4" s="295"/>
      <c r="F4" s="295"/>
      <c r="G4" s="295"/>
      <c r="H4" s="295"/>
      <c r="I4" s="295"/>
      <c r="J4" s="295"/>
      <c r="K4" s="295"/>
      <c r="L4" s="295"/>
      <c r="M4" s="29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>
        <v>10</v>
      </c>
      <c r="B7" s="218">
        <v>18</v>
      </c>
      <c r="C7" s="295" t="s">
        <v>921</v>
      </c>
      <c r="D7" s="295"/>
      <c r="E7" s="295"/>
      <c r="F7" s="295"/>
      <c r="G7" s="295"/>
      <c r="H7" s="295"/>
      <c r="I7" s="295"/>
      <c r="J7" s="295"/>
      <c r="K7" s="295"/>
      <c r="L7" s="295"/>
      <c r="M7" s="29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>
        <v>14</v>
      </c>
      <c r="B8" s="218">
        <v>17</v>
      </c>
      <c r="C8" s="282" t="s">
        <v>916</v>
      </c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>
        <v>22</v>
      </c>
      <c r="B9" s="218">
        <v>21</v>
      </c>
      <c r="C9" s="282" t="s">
        <v>917</v>
      </c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>
        <v>23</v>
      </c>
      <c r="B10" s="218">
        <v>8</v>
      </c>
      <c r="C10" s="282" t="s">
        <v>918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>
        <v>23</v>
      </c>
      <c r="B11" s="218">
        <v>12</v>
      </c>
      <c r="C11" s="282" t="s">
        <v>919</v>
      </c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95"/>
      <c r="D29" s="295"/>
      <c r="E29" s="295"/>
      <c r="F29" s="295"/>
      <c r="G29" s="295"/>
      <c r="H29" s="295"/>
      <c r="I29" s="295"/>
      <c r="J29" s="295"/>
      <c r="K29" s="295"/>
      <c r="L29" s="295"/>
      <c r="M29" s="296"/>
      <c r="N29" s="210"/>
      <c r="O29" s="210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6"/>
      <c r="AB29" s="206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6"/>
      <c r="AO29" s="206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6"/>
      <c r="BB29" s="206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6"/>
      <c r="BO29" s="206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6"/>
      <c r="CB29" s="206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6"/>
      <c r="CO29" s="206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6"/>
      <c r="DB29" s="206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6"/>
      <c r="DO29" s="206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6"/>
      <c r="EB29" s="206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6"/>
      <c r="EO29" s="206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6"/>
      <c r="FB29" s="206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6"/>
      <c r="FO29" s="206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6"/>
      <c r="GB29" s="206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6"/>
      <c r="GO29" s="206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6"/>
      <c r="HB29" s="206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6"/>
      <c r="HO29" s="206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6"/>
      <c r="IB29" s="206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6"/>
      <c r="IO29" s="206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7"/>
      <c r="B30" s="218"/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6"/>
      <c r="N30" s="210"/>
      <c r="O30" s="210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6"/>
      <c r="AB30" s="206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6"/>
      <c r="AO30" s="206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6"/>
      <c r="BB30" s="206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6"/>
      <c r="BO30" s="206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6"/>
      <c r="CB30" s="206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6"/>
      <c r="CO30" s="206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6"/>
      <c r="DB30" s="206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6"/>
      <c r="DO30" s="206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6"/>
      <c r="EB30" s="206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6"/>
      <c r="EO30" s="206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6"/>
      <c r="FB30" s="206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6"/>
      <c r="FO30" s="206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6"/>
      <c r="GB30" s="206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6"/>
      <c r="GO30" s="206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6"/>
      <c r="HB30" s="206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6"/>
      <c r="HO30" s="206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6"/>
      <c r="IB30" s="206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6"/>
      <c r="IO30" s="206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7"/>
      <c r="B31" s="218"/>
      <c r="C31" s="295"/>
      <c r="D31" s="295"/>
      <c r="E31" s="295"/>
      <c r="F31" s="295"/>
      <c r="G31" s="295"/>
      <c r="H31" s="295"/>
      <c r="I31" s="295"/>
      <c r="J31" s="295"/>
      <c r="K31" s="295"/>
      <c r="L31" s="295"/>
      <c r="M31" s="296"/>
      <c r="N31" s="210"/>
      <c r="O31" s="210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6"/>
      <c r="AB31" s="206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6"/>
      <c r="AO31" s="206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6"/>
      <c r="BB31" s="206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6"/>
      <c r="BO31" s="206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6"/>
      <c r="CB31" s="206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6"/>
      <c r="CO31" s="206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6"/>
      <c r="DB31" s="206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6"/>
      <c r="DO31" s="206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6"/>
      <c r="EB31" s="206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6"/>
      <c r="EO31" s="206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6"/>
      <c r="FB31" s="206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6"/>
      <c r="FO31" s="206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6"/>
      <c r="GB31" s="206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6"/>
      <c r="GO31" s="206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6"/>
      <c r="HB31" s="206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6"/>
      <c r="HO31" s="206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6"/>
      <c r="IB31" s="206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6"/>
      <c r="IO31" s="206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7"/>
      <c r="B32" s="218"/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6"/>
      <c r="N32" s="222"/>
      <c r="O32" s="222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6"/>
      <c r="AA32" s="217"/>
      <c r="AB32" s="218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6"/>
      <c r="AN32" s="217"/>
      <c r="AO32" s="218"/>
      <c r="AP32" s="295"/>
      <c r="AQ32" s="295"/>
      <c r="AR32" s="295"/>
      <c r="AS32" s="295"/>
      <c r="AT32" s="295"/>
      <c r="AU32" s="295"/>
      <c r="AV32" s="295"/>
      <c r="AW32" s="295"/>
      <c r="AX32" s="295"/>
      <c r="AY32" s="295"/>
      <c r="AZ32" s="296"/>
      <c r="BA32" s="217"/>
      <c r="BB32" s="218"/>
      <c r="BC32" s="295"/>
      <c r="BD32" s="295"/>
      <c r="BE32" s="295"/>
      <c r="BF32" s="295"/>
      <c r="BG32" s="295"/>
      <c r="BH32" s="295"/>
      <c r="BI32" s="295"/>
      <c r="BJ32" s="295"/>
      <c r="BK32" s="295"/>
      <c r="BL32" s="295"/>
      <c r="BM32" s="296"/>
      <c r="BN32" s="217"/>
      <c r="BO32" s="218"/>
      <c r="BP32" s="295"/>
      <c r="BQ32" s="295"/>
      <c r="BR32" s="295"/>
      <c r="BS32" s="295"/>
      <c r="BT32" s="295"/>
      <c r="BU32" s="295"/>
      <c r="BV32" s="295"/>
      <c r="BW32" s="295"/>
      <c r="BX32" s="295"/>
      <c r="BY32" s="295"/>
      <c r="BZ32" s="296"/>
      <c r="CA32" s="217"/>
      <c r="CB32" s="218"/>
      <c r="CC32" s="295"/>
      <c r="CD32" s="295"/>
      <c r="CE32" s="295"/>
      <c r="CF32" s="295"/>
      <c r="CG32" s="295"/>
      <c r="CH32" s="295"/>
      <c r="CI32" s="295"/>
      <c r="CJ32" s="295"/>
      <c r="CK32" s="295"/>
      <c r="CL32" s="295"/>
      <c r="CM32" s="296"/>
      <c r="CN32" s="217"/>
      <c r="CO32" s="218"/>
      <c r="CP32" s="295"/>
      <c r="CQ32" s="295"/>
      <c r="CR32" s="295"/>
      <c r="CS32" s="295"/>
      <c r="CT32" s="295"/>
      <c r="CU32" s="295"/>
      <c r="CV32" s="295"/>
      <c r="CW32" s="295"/>
      <c r="CX32" s="295"/>
      <c r="CY32" s="295"/>
      <c r="CZ32" s="296"/>
      <c r="DA32" s="217"/>
      <c r="DB32" s="218"/>
      <c r="DC32" s="295"/>
      <c r="DD32" s="295"/>
      <c r="DE32" s="295"/>
      <c r="DF32" s="295"/>
      <c r="DG32" s="295"/>
      <c r="DH32" s="295"/>
      <c r="DI32" s="295"/>
      <c r="DJ32" s="295"/>
      <c r="DK32" s="295"/>
      <c r="DL32" s="295"/>
      <c r="DM32" s="296"/>
      <c r="DN32" s="217"/>
      <c r="DO32" s="218"/>
      <c r="DP32" s="295"/>
      <c r="DQ32" s="295"/>
      <c r="DR32" s="295"/>
      <c r="DS32" s="295"/>
      <c r="DT32" s="295"/>
      <c r="DU32" s="295"/>
      <c r="DV32" s="295"/>
      <c r="DW32" s="295"/>
      <c r="DX32" s="295"/>
      <c r="DY32" s="295"/>
      <c r="DZ32" s="296"/>
      <c r="EA32" s="217"/>
      <c r="EB32" s="218"/>
      <c r="EC32" s="295"/>
      <c r="ED32" s="295"/>
      <c r="EE32" s="295"/>
      <c r="EF32" s="295"/>
      <c r="EG32" s="295"/>
      <c r="EH32" s="295"/>
      <c r="EI32" s="295"/>
      <c r="EJ32" s="295"/>
      <c r="EK32" s="295"/>
      <c r="EL32" s="295"/>
      <c r="EM32" s="296"/>
      <c r="EN32" s="217"/>
      <c r="EO32" s="218"/>
      <c r="EP32" s="295"/>
      <c r="EQ32" s="295"/>
      <c r="ER32" s="295"/>
      <c r="ES32" s="295"/>
      <c r="ET32" s="295"/>
      <c r="EU32" s="295"/>
      <c r="EV32" s="295"/>
      <c r="EW32" s="295"/>
      <c r="EX32" s="295"/>
      <c r="EY32" s="295"/>
      <c r="EZ32" s="296"/>
      <c r="FA32" s="217"/>
      <c r="FB32" s="218"/>
      <c r="FC32" s="295"/>
      <c r="FD32" s="295"/>
      <c r="FE32" s="295"/>
      <c r="FF32" s="295"/>
      <c r="FG32" s="295"/>
      <c r="FH32" s="295"/>
      <c r="FI32" s="295"/>
      <c r="FJ32" s="295"/>
      <c r="FK32" s="295"/>
      <c r="FL32" s="295"/>
      <c r="FM32" s="296"/>
      <c r="FN32" s="217"/>
      <c r="FO32" s="218"/>
      <c r="FP32" s="295"/>
      <c r="FQ32" s="295"/>
      <c r="FR32" s="295"/>
      <c r="FS32" s="295"/>
      <c r="FT32" s="295"/>
      <c r="FU32" s="295"/>
      <c r="FV32" s="295"/>
      <c r="FW32" s="295"/>
      <c r="FX32" s="295"/>
      <c r="FY32" s="295"/>
      <c r="FZ32" s="296"/>
      <c r="GA32" s="217"/>
      <c r="GB32" s="218"/>
      <c r="GC32" s="295"/>
      <c r="GD32" s="295"/>
      <c r="GE32" s="295"/>
      <c r="GF32" s="295"/>
      <c r="GG32" s="295"/>
      <c r="GH32" s="295"/>
      <c r="GI32" s="295"/>
      <c r="GJ32" s="295"/>
      <c r="GK32" s="295"/>
      <c r="GL32" s="295"/>
      <c r="GM32" s="296"/>
      <c r="GN32" s="217"/>
      <c r="GO32" s="218"/>
      <c r="GP32" s="295"/>
      <c r="GQ32" s="295"/>
      <c r="GR32" s="295"/>
      <c r="GS32" s="295"/>
      <c r="GT32" s="295"/>
      <c r="GU32" s="295"/>
      <c r="GV32" s="295"/>
      <c r="GW32" s="295"/>
      <c r="GX32" s="295"/>
      <c r="GY32" s="295"/>
      <c r="GZ32" s="296"/>
      <c r="HA32" s="217"/>
      <c r="HB32" s="218"/>
      <c r="HC32" s="295"/>
      <c r="HD32" s="295"/>
      <c r="HE32" s="295"/>
      <c r="HF32" s="295"/>
      <c r="HG32" s="295"/>
      <c r="HH32" s="295"/>
      <c r="HI32" s="295"/>
      <c r="HJ32" s="295"/>
      <c r="HK32" s="295"/>
      <c r="HL32" s="295"/>
      <c r="HM32" s="296"/>
      <c r="HN32" s="217"/>
      <c r="HO32" s="218"/>
      <c r="HP32" s="295"/>
      <c r="HQ32" s="295"/>
      <c r="HR32" s="295"/>
      <c r="HS32" s="295"/>
      <c r="HT32" s="295"/>
      <c r="HU32" s="295"/>
      <c r="HV32" s="295"/>
      <c r="HW32" s="295"/>
      <c r="HX32" s="295"/>
      <c r="HY32" s="295"/>
      <c r="HZ32" s="296"/>
      <c r="IA32" s="217"/>
      <c r="IB32" s="218"/>
      <c r="IC32" s="295"/>
      <c r="ID32" s="295"/>
      <c r="IE32" s="295"/>
      <c r="IF32" s="295"/>
      <c r="IG32" s="295"/>
      <c r="IH32" s="295"/>
      <c r="II32" s="295"/>
      <c r="IJ32" s="295"/>
      <c r="IK32" s="295"/>
      <c r="IL32" s="295"/>
      <c r="IM32" s="296"/>
      <c r="IN32" s="217"/>
      <c r="IO32" s="218"/>
      <c r="IP32" s="295"/>
      <c r="IQ32" s="295"/>
      <c r="IR32" s="295"/>
      <c r="IS32" s="295"/>
      <c r="IT32" s="295"/>
      <c r="IU32" s="295"/>
      <c r="IV32" s="295"/>
    </row>
    <row r="33" spans="1:256" x14ac:dyDescent="0.2">
      <c r="A33" s="217"/>
      <c r="B33" s="218"/>
      <c r="C33" s="295"/>
      <c r="D33" s="295"/>
      <c r="E33" s="295"/>
      <c r="F33" s="295"/>
      <c r="G33" s="295"/>
      <c r="H33" s="295"/>
      <c r="I33" s="295"/>
      <c r="J33" s="295"/>
      <c r="K33" s="295"/>
      <c r="L33" s="295"/>
      <c r="M33" s="29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95"/>
      <c r="D34" s="295"/>
      <c r="E34" s="295"/>
      <c r="F34" s="295"/>
      <c r="G34" s="295"/>
      <c r="H34" s="295"/>
      <c r="I34" s="295"/>
      <c r="J34" s="295"/>
      <c r="K34" s="295"/>
      <c r="L34" s="295"/>
      <c r="M34" s="29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6"/>
      <c r="N38" s="210"/>
      <c r="O38" s="210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6"/>
      <c r="AB38" s="206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6"/>
      <c r="AO38" s="206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6"/>
      <c r="BB38" s="206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6"/>
      <c r="BO38" s="206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6"/>
      <c r="CB38" s="206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6"/>
      <c r="CO38" s="206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6"/>
      <c r="DB38" s="206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6"/>
      <c r="DO38" s="206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6"/>
      <c r="EB38" s="206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6"/>
      <c r="EO38" s="206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6"/>
      <c r="FB38" s="206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6"/>
      <c r="FO38" s="206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6"/>
      <c r="GB38" s="206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6"/>
      <c r="GO38" s="206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6"/>
      <c r="HB38" s="206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6"/>
      <c r="HO38" s="206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6"/>
      <c r="IB38" s="206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6"/>
      <c r="IO38" s="206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7"/>
      <c r="B39" s="218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6"/>
      <c r="N39" s="210"/>
      <c r="O39" s="210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6"/>
      <c r="AB39" s="206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6"/>
      <c r="AO39" s="206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6"/>
      <c r="BB39" s="206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6"/>
      <c r="BO39" s="206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6"/>
      <c r="CB39" s="206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6"/>
      <c r="CO39" s="206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6"/>
      <c r="DB39" s="206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6"/>
      <c r="DO39" s="206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6"/>
      <c r="EB39" s="206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6"/>
      <c r="EO39" s="206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6"/>
      <c r="FB39" s="206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6"/>
      <c r="FO39" s="206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6"/>
      <c r="GB39" s="206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6"/>
      <c r="GO39" s="206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6"/>
      <c r="HB39" s="206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6"/>
      <c r="HO39" s="206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6"/>
      <c r="IB39" s="206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6"/>
      <c r="IO39" s="206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7"/>
      <c r="B40" s="218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6"/>
      <c r="N40" s="210"/>
      <c r="O40" s="210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6"/>
      <c r="AB40" s="206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6"/>
      <c r="AO40" s="206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6"/>
      <c r="BB40" s="206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6"/>
      <c r="BO40" s="206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6"/>
      <c r="CB40" s="206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6"/>
      <c r="CO40" s="206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6"/>
      <c r="DB40" s="206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6"/>
      <c r="DO40" s="206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6"/>
      <c r="EB40" s="206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6"/>
      <c r="EO40" s="206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6"/>
      <c r="FB40" s="206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6"/>
      <c r="FO40" s="206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6"/>
      <c r="GB40" s="206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6"/>
      <c r="GO40" s="206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6"/>
      <c r="HB40" s="206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6"/>
      <c r="HO40" s="206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6"/>
      <c r="IB40" s="206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6"/>
      <c r="IO40" s="206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7"/>
      <c r="B41" s="218"/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95"/>
      <c r="D42" s="295"/>
      <c r="E42" s="295"/>
      <c r="F42" s="295"/>
      <c r="G42" s="295"/>
      <c r="H42" s="295"/>
      <c r="I42" s="295"/>
      <c r="J42" s="295"/>
      <c r="K42" s="295"/>
      <c r="L42" s="295"/>
      <c r="M42" s="29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95"/>
      <c r="D44" s="295"/>
      <c r="E44" s="295"/>
      <c r="F44" s="295"/>
      <c r="G44" s="295"/>
      <c r="H44" s="295"/>
      <c r="I44" s="295"/>
      <c r="J44" s="295"/>
      <c r="K44" s="295"/>
      <c r="L44" s="295"/>
      <c r="M44" s="29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95"/>
      <c r="D50" s="295"/>
      <c r="E50" s="295"/>
      <c r="F50" s="295"/>
      <c r="G50" s="295"/>
      <c r="H50" s="295"/>
      <c r="I50" s="295"/>
      <c r="J50" s="295"/>
      <c r="K50" s="295"/>
      <c r="L50" s="295"/>
      <c r="M50" s="29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95"/>
      <c r="D52" s="295"/>
      <c r="E52" s="295"/>
      <c r="F52" s="295"/>
      <c r="G52" s="295"/>
      <c r="H52" s="295"/>
      <c r="I52" s="295"/>
      <c r="J52" s="295"/>
      <c r="K52" s="295"/>
      <c r="L52" s="295"/>
      <c r="M52" s="29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95"/>
      <c r="D54" s="295"/>
      <c r="E54" s="295"/>
      <c r="F54" s="295"/>
      <c r="G54" s="295"/>
      <c r="H54" s="295"/>
      <c r="I54" s="295"/>
      <c r="J54" s="295"/>
      <c r="K54" s="295"/>
      <c r="L54" s="295"/>
      <c r="M54" s="29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95"/>
      <c r="D56" s="295"/>
      <c r="E56" s="295"/>
      <c r="F56" s="295"/>
      <c r="G56" s="295"/>
      <c r="H56" s="295"/>
      <c r="I56" s="295"/>
      <c r="J56" s="295"/>
      <c r="K56" s="295"/>
      <c r="L56" s="295"/>
      <c r="M56" s="29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95"/>
      <c r="D58" s="295"/>
      <c r="E58" s="295"/>
      <c r="F58" s="295"/>
      <c r="G58" s="295"/>
      <c r="H58" s="295"/>
      <c r="I58" s="295"/>
      <c r="J58" s="295"/>
      <c r="K58" s="295"/>
      <c r="L58" s="295"/>
      <c r="M58" s="29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6"/>
    </row>
    <row r="60" spans="1:256" x14ac:dyDescent="0.2">
      <c r="A60" s="217"/>
      <c r="B60" s="218"/>
      <c r="C60" s="295"/>
      <c r="D60" s="295"/>
      <c r="E60" s="295"/>
      <c r="F60" s="295"/>
      <c r="G60" s="295"/>
      <c r="H60" s="295"/>
      <c r="I60" s="295"/>
      <c r="J60" s="295"/>
      <c r="K60" s="295"/>
      <c r="L60" s="295"/>
      <c r="M60" s="296"/>
    </row>
    <row r="61" spans="1:256" x14ac:dyDescent="0.2">
      <c r="A61" s="217"/>
      <c r="B61" s="218"/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6"/>
    </row>
    <row r="62" spans="1:256" x14ac:dyDescent="0.2">
      <c r="A62" s="217"/>
      <c r="B62" s="218"/>
      <c r="C62" s="295"/>
      <c r="D62" s="295"/>
      <c r="E62" s="295"/>
      <c r="F62" s="295"/>
      <c r="G62" s="295"/>
      <c r="H62" s="295"/>
      <c r="I62" s="295"/>
      <c r="J62" s="295"/>
      <c r="K62" s="295"/>
      <c r="L62" s="295"/>
      <c r="M62" s="296"/>
    </row>
    <row r="63" spans="1:256" x14ac:dyDescent="0.2">
      <c r="A63" s="217"/>
      <c r="B63" s="218"/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6"/>
    </row>
    <row r="64" spans="1:256" x14ac:dyDescent="0.2">
      <c r="A64" s="217"/>
      <c r="B64" s="218"/>
      <c r="C64" s="295"/>
      <c r="D64" s="295"/>
      <c r="E64" s="295"/>
      <c r="F64" s="295"/>
      <c r="G64" s="295"/>
      <c r="H64" s="295"/>
      <c r="I64" s="295"/>
      <c r="J64" s="295"/>
      <c r="K64" s="295"/>
      <c r="L64" s="295"/>
      <c r="M64" s="296"/>
    </row>
    <row r="65" spans="1:13" x14ac:dyDescent="0.2">
      <c r="A65" s="217"/>
      <c r="B65" s="218"/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6"/>
    </row>
    <row r="66" spans="1:13" x14ac:dyDescent="0.2">
      <c r="A66" s="217"/>
      <c r="B66" s="218"/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6"/>
    </row>
    <row r="67" spans="1:13" x14ac:dyDescent="0.2">
      <c r="A67" s="217"/>
      <c r="B67" s="218"/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6"/>
    </row>
    <row r="68" spans="1:13" x14ac:dyDescent="0.2">
      <c r="A68" s="217"/>
      <c r="B68" s="218"/>
      <c r="C68" s="295"/>
      <c r="D68" s="295"/>
      <c r="E68" s="295"/>
      <c r="F68" s="295"/>
      <c r="G68" s="295"/>
      <c r="H68" s="295"/>
      <c r="I68" s="295"/>
      <c r="J68" s="295"/>
      <c r="K68" s="295"/>
      <c r="L68" s="295"/>
      <c r="M68" s="296"/>
    </row>
    <row r="69" spans="1:13" x14ac:dyDescent="0.2">
      <c r="A69" s="217"/>
      <c r="B69" s="218"/>
      <c r="C69" s="295"/>
      <c r="D69" s="295"/>
      <c r="E69" s="295"/>
      <c r="F69" s="295"/>
      <c r="G69" s="295"/>
      <c r="H69" s="295"/>
      <c r="I69" s="295"/>
      <c r="J69" s="295"/>
      <c r="K69" s="295"/>
      <c r="L69" s="295"/>
      <c r="M69" s="296"/>
    </row>
    <row r="70" spans="1:13" ht="12" thickBot="1" x14ac:dyDescent="0.25">
      <c r="A70" s="219"/>
      <c r="B70" s="220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9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310" t="s">
        <v>847</v>
      </c>
      <c r="B72" s="310"/>
      <c r="C72" s="310"/>
      <c r="D72" s="310"/>
      <c r="E72" s="31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767</v>
      </c>
      <c r="B73" s="209" t="s">
        <v>768</v>
      </c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</row>
    <row r="74" spans="1:13" x14ac:dyDescent="0.2">
      <c r="A74" s="210"/>
      <c r="B74" s="210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</row>
    <row r="75" spans="1:13" x14ac:dyDescent="0.2">
      <c r="A75" s="210"/>
      <c r="B75" s="210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</row>
    <row r="76" spans="1:13" x14ac:dyDescent="0.2">
      <c r="A76" s="210"/>
      <c r="B76" s="210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</row>
    <row r="77" spans="1:13" x14ac:dyDescent="0.2">
      <c r="A77" s="210"/>
      <c r="B77" s="210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</row>
    <row r="78" spans="1:13" x14ac:dyDescent="0.2">
      <c r="A78" s="210"/>
      <c r="B78" s="210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</row>
    <row r="79" spans="1:13" x14ac:dyDescent="0.2">
      <c r="A79" s="210"/>
      <c r="B79" s="210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</row>
    <row r="80" spans="1:13" x14ac:dyDescent="0.2">
      <c r="A80" s="210"/>
      <c r="B80" s="210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</row>
    <row r="81" spans="1:13" x14ac:dyDescent="0.2">
      <c r="A81" s="210"/>
      <c r="B81" s="210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</row>
    <row r="82" spans="1:13" x14ac:dyDescent="0.2">
      <c r="A82" s="210"/>
      <c r="B82" s="210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</row>
    <row r="83" spans="1:13" x14ac:dyDescent="0.2">
      <c r="A83" s="210"/>
      <c r="B83" s="210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</row>
    <row r="84" spans="1:13" x14ac:dyDescent="0.2">
      <c r="A84" s="210"/>
      <c r="B84" s="210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</row>
    <row r="85" spans="1:13" x14ac:dyDescent="0.2">
      <c r="A85" s="210"/>
      <c r="B85" s="210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</row>
    <row r="86" spans="1:13" x14ac:dyDescent="0.2">
      <c r="A86" s="210"/>
      <c r="B86" s="210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</row>
    <row r="87" spans="1:13" x14ac:dyDescent="0.2">
      <c r="A87" s="210"/>
      <c r="B87" s="210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</row>
    <row r="88" spans="1:13" x14ac:dyDescent="0.2">
      <c r="A88" s="210"/>
      <c r="B88" s="210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</row>
    <row r="89" spans="1:13" x14ac:dyDescent="0.2">
      <c r="A89" s="210"/>
      <c r="B89" s="210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</row>
    <row r="90" spans="1:13" x14ac:dyDescent="0.2">
      <c r="A90" s="210"/>
      <c r="B90" s="210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</row>
  </sheetData>
  <sheetProtection password="AB0A" sheet="1" objects="1" scenarios="1"/>
  <mergeCells count="218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6:M6"/>
    <mergeCell ref="C7:M7"/>
    <mergeCell ref="C13:M13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2017-10-06T13:34:09Z</cp:lastPrinted>
  <dcterms:created xsi:type="dcterms:W3CDTF">1997-12-04T19:04:30Z</dcterms:created>
  <dcterms:modified xsi:type="dcterms:W3CDTF">2017-11-29T17:33:49Z</dcterms:modified>
</cp:coreProperties>
</file>