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3040" windowHeight="99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D9" i="13" l="1"/>
  <c r="J96" i="1" l="1"/>
  <c r="H397" i="1"/>
  <c r="J468" i="1"/>
  <c r="J473" i="1"/>
  <c r="G459" i="1"/>
  <c r="G439" i="1"/>
  <c r="H400" i="1"/>
  <c r="H396" i="1"/>
  <c r="K323" i="1" l="1"/>
  <c r="I320" i="1"/>
  <c r="I613" i="1" l="1"/>
  <c r="H613" i="1"/>
  <c r="G613" i="1"/>
  <c r="F613" i="1"/>
  <c r="G612" i="1"/>
  <c r="F612" i="1"/>
  <c r="G611" i="1"/>
  <c r="K611" i="1"/>
  <c r="I611" i="1"/>
  <c r="H611" i="1"/>
  <c r="F611" i="1"/>
  <c r="J604" i="1"/>
  <c r="J592" i="1"/>
  <c r="J595" i="1"/>
  <c r="I597" i="1"/>
  <c r="I528" i="1"/>
  <c r="I527" i="1"/>
  <c r="I526" i="1"/>
  <c r="H528" i="1"/>
  <c r="H543" i="1"/>
  <c r="H527" i="1"/>
  <c r="H526" i="1"/>
  <c r="G527" i="1"/>
  <c r="G528" i="1"/>
  <c r="G526" i="1"/>
  <c r="F528" i="1"/>
  <c r="F527" i="1"/>
  <c r="F526" i="1"/>
  <c r="I502" i="1" l="1"/>
  <c r="I501" i="1"/>
  <c r="H502" i="1"/>
  <c r="H501" i="1"/>
  <c r="I498" i="1"/>
  <c r="H498" i="1"/>
  <c r="G498" i="1"/>
  <c r="F498" i="1"/>
  <c r="I497" i="1"/>
  <c r="H497" i="1"/>
  <c r="H472" i="1"/>
  <c r="H468" i="1"/>
  <c r="F368" i="1"/>
  <c r="H367" i="1"/>
  <c r="G367" i="1"/>
  <c r="G320" i="1"/>
  <c r="H320" i="1" l="1"/>
  <c r="F320" i="1"/>
  <c r="I301" i="1"/>
  <c r="H301" i="1"/>
  <c r="G301" i="1"/>
  <c r="F301" i="1"/>
  <c r="K304" i="1"/>
  <c r="K284" i="1"/>
  <c r="H282" i="1"/>
  <c r="I282" i="1"/>
  <c r="G282" i="1"/>
  <c r="F282" i="1"/>
  <c r="I314" i="1"/>
  <c r="I317" i="1"/>
  <c r="H324" i="1"/>
  <c r="H319" i="1"/>
  <c r="G319" i="1"/>
  <c r="F319" i="1"/>
  <c r="H317" i="1"/>
  <c r="G317" i="1"/>
  <c r="F317" i="1"/>
  <c r="H314" i="1"/>
  <c r="H336" i="1"/>
  <c r="K281" i="1"/>
  <c r="K279" i="1"/>
  <c r="I281" i="1"/>
  <c r="I279" i="1"/>
  <c r="I277" i="1"/>
  <c r="H287" i="1"/>
  <c r="H283" i="1"/>
  <c r="H281" i="1"/>
  <c r="H332" i="1"/>
  <c r="G281" i="1"/>
  <c r="F283" i="1"/>
  <c r="F281" i="1"/>
  <c r="F279" i="1"/>
  <c r="F277" i="1"/>
  <c r="K240" i="1"/>
  <c r="K239" i="1"/>
  <c r="K238" i="1"/>
  <c r="J243" i="1"/>
  <c r="J239" i="1"/>
  <c r="J238" i="1"/>
  <c r="I245" i="1"/>
  <c r="I243" i="1"/>
  <c r="I241" i="1"/>
  <c r="I240" i="1"/>
  <c r="I239" i="1"/>
  <c r="I238" i="1"/>
  <c r="I236" i="1"/>
  <c r="H255" i="1"/>
  <c r="H243" i="1"/>
  <c r="H241" i="1"/>
  <c r="H245" i="1"/>
  <c r="G245" i="1"/>
  <c r="F245" i="1"/>
  <c r="H244" i="1"/>
  <c r="H240" i="1"/>
  <c r="H239" i="1"/>
  <c r="H238" i="1"/>
  <c r="H236" i="1"/>
  <c r="G243" i="1"/>
  <c r="G240" i="1"/>
  <c r="G239" i="1"/>
  <c r="G238" i="1"/>
  <c r="G236" i="1"/>
  <c r="F243" i="1"/>
  <c r="F241" i="1"/>
  <c r="F240" i="1"/>
  <c r="F239" i="1"/>
  <c r="F238" i="1"/>
  <c r="F236" i="1"/>
  <c r="F235" i="1"/>
  <c r="F233" i="1"/>
  <c r="K222" i="1" l="1"/>
  <c r="K221" i="1"/>
  <c r="K220" i="1"/>
  <c r="K218" i="1"/>
  <c r="I227" i="1"/>
  <c r="I222" i="1"/>
  <c r="I221" i="1"/>
  <c r="I220" i="1"/>
  <c r="I218" i="1"/>
  <c r="H227" i="1"/>
  <c r="H226" i="1"/>
  <c r="H225" i="1"/>
  <c r="H223" i="1"/>
  <c r="H222" i="1"/>
  <c r="H221" i="1"/>
  <c r="H220" i="1"/>
  <c r="H218" i="1"/>
  <c r="G225" i="1"/>
  <c r="G222" i="1"/>
  <c r="G221" i="1"/>
  <c r="G220" i="1"/>
  <c r="G218" i="1"/>
  <c r="G216" i="1"/>
  <c r="F222" i="1"/>
  <c r="F225" i="1"/>
  <c r="F221" i="1"/>
  <c r="F220" i="1"/>
  <c r="F218" i="1"/>
  <c r="F216" i="1"/>
  <c r="I209" i="1"/>
  <c r="K207" i="1"/>
  <c r="K206" i="1"/>
  <c r="K205" i="1"/>
  <c r="K204" i="1"/>
  <c r="K203" i="1"/>
  <c r="K200" i="1"/>
  <c r="K197" i="1"/>
  <c r="J209" i="1"/>
  <c r="J207" i="1"/>
  <c r="J203" i="1"/>
  <c r="J198" i="1"/>
  <c r="J197" i="1"/>
  <c r="I207" i="1"/>
  <c r="I205" i="1"/>
  <c r="I204" i="1"/>
  <c r="I203" i="1"/>
  <c r="I202" i="1"/>
  <c r="I200" i="1"/>
  <c r="I198" i="1"/>
  <c r="I197" i="1"/>
  <c r="H209" i="1"/>
  <c r="H208" i="1"/>
  <c r="H207" i="1"/>
  <c r="H206" i="1"/>
  <c r="H205" i="1"/>
  <c r="H204" i="1"/>
  <c r="H203" i="1"/>
  <c r="H202" i="1"/>
  <c r="H200" i="1"/>
  <c r="H198" i="1"/>
  <c r="H197" i="1"/>
  <c r="G198" i="1"/>
  <c r="G207" i="1"/>
  <c r="G205" i="1"/>
  <c r="G204" i="1"/>
  <c r="G203" i="1"/>
  <c r="G202" i="1"/>
  <c r="G200" i="1"/>
  <c r="G197" i="1"/>
  <c r="F200" i="1"/>
  <c r="F209" i="1"/>
  <c r="F207" i="1"/>
  <c r="F205" i="1"/>
  <c r="F204" i="1"/>
  <c r="F203" i="1"/>
  <c r="F202" i="1"/>
  <c r="F198" i="1"/>
  <c r="F197" i="1"/>
  <c r="H102" i="1"/>
  <c r="H63" i="1"/>
  <c r="G97" i="1"/>
  <c r="F110" i="1"/>
  <c r="H43" i="1"/>
  <c r="H45" i="1"/>
  <c r="H28" i="1"/>
  <c r="H24" i="1"/>
  <c r="H22" i="1"/>
  <c r="H13" i="1"/>
  <c r="H9" i="1"/>
  <c r="G9" i="1" l="1"/>
  <c r="F9" i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C121" i="2" s="1"/>
  <c r="F14" i="13"/>
  <c r="G14" i="13"/>
  <c r="L207" i="1"/>
  <c r="L225" i="1"/>
  <c r="L243" i="1"/>
  <c r="F15" i="13"/>
  <c r="G15" i="13"/>
  <c r="L208" i="1"/>
  <c r="L226" i="1"/>
  <c r="L244" i="1"/>
  <c r="G651" i="1" s="1"/>
  <c r="F17" i="13"/>
  <c r="G17" i="13"/>
  <c r="L251" i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1" i="10"/>
  <c r="L250" i="1"/>
  <c r="L332" i="1"/>
  <c r="E113" i="2" s="1"/>
  <c r="L254" i="1"/>
  <c r="L268" i="1"/>
  <c r="L269" i="1"/>
  <c r="C143" i="2" s="1"/>
  <c r="L349" i="1"/>
  <c r="L350" i="1"/>
  <c r="I665" i="1"/>
  <c r="I670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L526" i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E111" i="2"/>
  <c r="C113" i="2"/>
  <c r="D115" i="2"/>
  <c r="F115" i="2"/>
  <c r="G115" i="2"/>
  <c r="E123" i="2"/>
  <c r="F128" i="2"/>
  <c r="G128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F52" i="1" s="1"/>
  <c r="G32" i="1"/>
  <c r="H32" i="1"/>
  <c r="I32" i="1"/>
  <c r="H617" i="1"/>
  <c r="G52" i="1"/>
  <c r="H618" i="1" s="1"/>
  <c r="H51" i="1"/>
  <c r="G624" i="1" s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G257" i="1" s="1"/>
  <c r="G271" i="1" s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I401" i="1"/>
  <c r="F407" i="1"/>
  <c r="G407" i="1"/>
  <c r="H407" i="1"/>
  <c r="I407" i="1"/>
  <c r="F408" i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L433" i="1" s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G460" i="1"/>
  <c r="G461" i="1" s="1"/>
  <c r="H640" i="1" s="1"/>
  <c r="J640" i="1" s="1"/>
  <c r="H460" i="1"/>
  <c r="F461" i="1"/>
  <c r="H461" i="1"/>
  <c r="H641" i="1" s="1"/>
  <c r="F470" i="1"/>
  <c r="G470" i="1"/>
  <c r="H470" i="1"/>
  <c r="I470" i="1"/>
  <c r="J470" i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J571" i="1" s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1" i="1"/>
  <c r="G643" i="1"/>
  <c r="H643" i="1"/>
  <c r="J643" i="1" s="1"/>
  <c r="G644" i="1"/>
  <c r="G645" i="1"/>
  <c r="G650" i="1"/>
  <c r="G652" i="1"/>
  <c r="H652" i="1"/>
  <c r="G653" i="1"/>
  <c r="H653" i="1"/>
  <c r="G654" i="1"/>
  <c r="H654" i="1"/>
  <c r="H655" i="1"/>
  <c r="F192" i="1"/>
  <c r="C26" i="10"/>
  <c r="D62" i="2"/>
  <c r="D63" i="2" s="1"/>
  <c r="G62" i="2"/>
  <c r="E78" i="2"/>
  <c r="J639" i="1"/>
  <c r="K605" i="1"/>
  <c r="G648" i="1" s="1"/>
  <c r="K571" i="1"/>
  <c r="I169" i="1"/>
  <c r="I476" i="1"/>
  <c r="H625" i="1" s="1"/>
  <c r="J140" i="1"/>
  <c r="H140" i="1"/>
  <c r="L393" i="1"/>
  <c r="C138" i="2" s="1"/>
  <c r="H192" i="1"/>
  <c r="C35" i="10"/>
  <c r="L570" i="1"/>
  <c r="G36" i="2"/>
  <c r="J644" i="1" l="1"/>
  <c r="J476" i="1"/>
  <c r="H626" i="1" s="1"/>
  <c r="L427" i="1"/>
  <c r="L434" i="1" s="1"/>
  <c r="G638" i="1" s="1"/>
  <c r="J638" i="1" s="1"/>
  <c r="J645" i="1"/>
  <c r="J651" i="1"/>
  <c r="K598" i="1"/>
  <c r="G647" i="1" s="1"/>
  <c r="H571" i="1"/>
  <c r="I571" i="1"/>
  <c r="L560" i="1"/>
  <c r="L571" i="1" s="1"/>
  <c r="J545" i="1"/>
  <c r="I545" i="1"/>
  <c r="L539" i="1"/>
  <c r="H545" i="1"/>
  <c r="L534" i="1"/>
  <c r="G545" i="1"/>
  <c r="K550" i="1"/>
  <c r="F571" i="1"/>
  <c r="K503" i="1"/>
  <c r="G161" i="2"/>
  <c r="F476" i="1"/>
  <c r="H622" i="1" s="1"/>
  <c r="H476" i="1"/>
  <c r="H624" i="1" s="1"/>
  <c r="J624" i="1" s="1"/>
  <c r="I369" i="1"/>
  <c r="H634" i="1" s="1"/>
  <c r="J634" i="1" s="1"/>
  <c r="G661" i="1"/>
  <c r="L362" i="1"/>
  <c r="C27" i="10" s="1"/>
  <c r="H661" i="1"/>
  <c r="E120" i="2"/>
  <c r="E122" i="2"/>
  <c r="L328" i="1"/>
  <c r="E124" i="2"/>
  <c r="G662" i="1"/>
  <c r="G338" i="1"/>
  <c r="G352" i="1" s="1"/>
  <c r="E119" i="2"/>
  <c r="E118" i="2"/>
  <c r="F338" i="1"/>
  <c r="F352" i="1" s="1"/>
  <c r="L309" i="1"/>
  <c r="K338" i="1"/>
  <c r="K352" i="1" s="1"/>
  <c r="H338" i="1"/>
  <c r="H352" i="1" s="1"/>
  <c r="L290" i="1"/>
  <c r="C20" i="10"/>
  <c r="C122" i="2"/>
  <c r="A31" i="12"/>
  <c r="C109" i="2"/>
  <c r="J257" i="1"/>
  <c r="J271" i="1" s="1"/>
  <c r="E8" i="13"/>
  <c r="C8" i="13" s="1"/>
  <c r="I257" i="1"/>
  <c r="C125" i="2"/>
  <c r="C119" i="2"/>
  <c r="C123" i="2"/>
  <c r="F257" i="1"/>
  <c r="F271" i="1" s="1"/>
  <c r="C112" i="2"/>
  <c r="C110" i="2"/>
  <c r="L256" i="1"/>
  <c r="H257" i="1"/>
  <c r="H271" i="1" s="1"/>
  <c r="D7" i="13"/>
  <c r="C7" i="13" s="1"/>
  <c r="A40" i="12"/>
  <c r="D5" i="13"/>
  <c r="C5" i="13" s="1"/>
  <c r="A13" i="12"/>
  <c r="H112" i="1"/>
  <c r="H193" i="1" s="1"/>
  <c r="G629" i="1" s="1"/>
  <c r="J629" i="1" s="1"/>
  <c r="C78" i="2"/>
  <c r="H52" i="1"/>
  <c r="H619" i="1" s="1"/>
  <c r="J619" i="1" s="1"/>
  <c r="J623" i="1"/>
  <c r="D50" i="2"/>
  <c r="D31" i="2"/>
  <c r="D51" i="2" s="1"/>
  <c r="D18" i="2"/>
  <c r="J622" i="1"/>
  <c r="J617" i="1"/>
  <c r="J641" i="1"/>
  <c r="F112" i="1"/>
  <c r="C56" i="2"/>
  <c r="C21" i="10"/>
  <c r="H647" i="1"/>
  <c r="F662" i="1"/>
  <c r="I662" i="1" s="1"/>
  <c r="C124" i="2"/>
  <c r="G649" i="1"/>
  <c r="J649" i="1" s="1"/>
  <c r="D15" i="13"/>
  <c r="C15" i="13" s="1"/>
  <c r="E13" i="13"/>
  <c r="C13" i="13" s="1"/>
  <c r="D12" i="13"/>
  <c r="C12" i="13" s="1"/>
  <c r="C114" i="2"/>
  <c r="F661" i="1"/>
  <c r="C19" i="10"/>
  <c r="E112" i="2"/>
  <c r="E115" i="2" s="1"/>
  <c r="C13" i="10"/>
  <c r="C118" i="2"/>
  <c r="D6" i="13"/>
  <c r="C6" i="13" s="1"/>
  <c r="C12" i="10"/>
  <c r="C111" i="2"/>
  <c r="C10" i="10"/>
  <c r="C85" i="2"/>
  <c r="C91" i="2" s="1"/>
  <c r="F169" i="1"/>
  <c r="C131" i="2"/>
  <c r="H25" i="13"/>
  <c r="E125" i="2"/>
  <c r="E121" i="2"/>
  <c r="D127" i="2"/>
  <c r="D128" i="2" s="1"/>
  <c r="D145" i="2" s="1"/>
  <c r="D17" i="13"/>
  <c r="C17" i="13" s="1"/>
  <c r="C18" i="10"/>
  <c r="L247" i="1"/>
  <c r="H660" i="1" s="1"/>
  <c r="C120" i="2"/>
  <c r="F22" i="13"/>
  <c r="C22" i="13" s="1"/>
  <c r="D14" i="13"/>
  <c r="C14" i="13" s="1"/>
  <c r="I52" i="1"/>
  <c r="H620" i="1" s="1"/>
  <c r="G625" i="1"/>
  <c r="J625" i="1" s="1"/>
  <c r="G164" i="2"/>
  <c r="G156" i="2"/>
  <c r="C132" i="2"/>
  <c r="G549" i="1"/>
  <c r="L529" i="1"/>
  <c r="L211" i="1"/>
  <c r="C16" i="10"/>
  <c r="L401" i="1"/>
  <c r="C139" i="2" s="1"/>
  <c r="L351" i="1"/>
  <c r="L229" i="1"/>
  <c r="E16" i="13"/>
  <c r="C17" i="10"/>
  <c r="C29" i="10"/>
  <c r="D29" i="13"/>
  <c r="C29" i="13" s="1"/>
  <c r="I271" i="1"/>
  <c r="K500" i="1"/>
  <c r="I460" i="1"/>
  <c r="I452" i="1"/>
  <c r="I461" i="1" s="1"/>
  <c r="H642" i="1" s="1"/>
  <c r="I446" i="1"/>
  <c r="G642" i="1" s="1"/>
  <c r="K257" i="1"/>
  <c r="K271" i="1" s="1"/>
  <c r="G157" i="2"/>
  <c r="F81" i="2"/>
  <c r="C70" i="2"/>
  <c r="C81" i="2" s="1"/>
  <c r="C62" i="2"/>
  <c r="C63" i="2" s="1"/>
  <c r="C18" i="2"/>
  <c r="L270" i="1"/>
  <c r="J551" i="1"/>
  <c r="J552" i="1" s="1"/>
  <c r="L544" i="1"/>
  <c r="H552" i="1"/>
  <c r="F551" i="1"/>
  <c r="F552" i="1" s="1"/>
  <c r="L524" i="1"/>
  <c r="C32" i="10"/>
  <c r="C15" i="10"/>
  <c r="J338" i="1"/>
  <c r="J352" i="1" s="1"/>
  <c r="E81" i="2"/>
  <c r="L61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F104" i="2"/>
  <c r="G169" i="1"/>
  <c r="G140" i="1"/>
  <c r="F140" i="1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J652" i="1"/>
  <c r="G571" i="1"/>
  <c r="I434" i="1"/>
  <c r="G434" i="1"/>
  <c r="I663" i="1"/>
  <c r="J642" i="1" l="1"/>
  <c r="G104" i="2"/>
  <c r="C141" i="2"/>
  <c r="C144" i="2" s="1"/>
  <c r="L408" i="1"/>
  <c r="J647" i="1"/>
  <c r="I661" i="1"/>
  <c r="G635" i="1"/>
  <c r="J635" i="1" s="1"/>
  <c r="H664" i="1"/>
  <c r="H672" i="1" s="1"/>
  <c r="C6" i="10" s="1"/>
  <c r="G660" i="1"/>
  <c r="G664" i="1" s="1"/>
  <c r="G672" i="1" s="1"/>
  <c r="C5" i="10" s="1"/>
  <c r="E128" i="2"/>
  <c r="E145" i="2" s="1"/>
  <c r="L338" i="1"/>
  <c r="L352" i="1" s="1"/>
  <c r="G633" i="1" s="1"/>
  <c r="J633" i="1" s="1"/>
  <c r="H648" i="1"/>
  <c r="J648" i="1" s="1"/>
  <c r="C128" i="2"/>
  <c r="C115" i="2"/>
  <c r="L257" i="1"/>
  <c r="L271" i="1" s="1"/>
  <c r="G632" i="1" s="1"/>
  <c r="J632" i="1" s="1"/>
  <c r="F33" i="13"/>
  <c r="F660" i="1"/>
  <c r="C36" i="10"/>
  <c r="E104" i="2"/>
  <c r="C104" i="2"/>
  <c r="F193" i="1"/>
  <c r="G627" i="1" s="1"/>
  <c r="J627" i="1" s="1"/>
  <c r="C28" i="10"/>
  <c r="D22" i="10" s="1"/>
  <c r="D31" i="13"/>
  <c r="C31" i="13" s="1"/>
  <c r="L545" i="1"/>
  <c r="G552" i="1"/>
  <c r="K549" i="1"/>
  <c r="C39" i="10"/>
  <c r="K551" i="1"/>
  <c r="E33" i="13"/>
  <c r="D35" i="13" s="1"/>
  <c r="C16" i="13"/>
  <c r="C25" i="13"/>
  <c r="H33" i="13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37" i="1" l="1"/>
  <c r="J637" i="1" s="1"/>
  <c r="H646" i="1"/>
  <c r="J646" i="1" s="1"/>
  <c r="K552" i="1"/>
  <c r="H667" i="1"/>
  <c r="I660" i="1"/>
  <c r="I664" i="1" s="1"/>
  <c r="I672" i="1" s="1"/>
  <c r="C7" i="10" s="1"/>
  <c r="G667" i="1"/>
  <c r="D33" i="13"/>
  <c r="D36" i="13" s="1"/>
  <c r="C145" i="2"/>
  <c r="F664" i="1"/>
  <c r="F672" i="1" s="1"/>
  <c r="C4" i="10" s="1"/>
  <c r="D17" i="10"/>
  <c r="D12" i="10"/>
  <c r="D27" i="10"/>
  <c r="D24" i="10"/>
  <c r="D18" i="10"/>
  <c r="D26" i="10"/>
  <c r="D16" i="10"/>
  <c r="D23" i="10"/>
  <c r="D20" i="10"/>
  <c r="D25" i="10"/>
  <c r="D19" i="10"/>
  <c r="D10" i="10"/>
  <c r="C30" i="10"/>
  <c r="D15" i="10"/>
  <c r="D13" i="10"/>
  <c r="D11" i="10"/>
  <c r="D21" i="10"/>
  <c r="C41" i="10"/>
  <c r="D38" i="10" s="1"/>
  <c r="H656" i="1" l="1"/>
  <c r="I667" i="1"/>
  <c r="F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<sst xmlns="http://schemas.openxmlformats.org/spreadsheetml/2006/main" count="3963" uniqueCount="919">
  <si>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</si>
  <si>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</si>
  <si>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</si>
  <si>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</si>
  <si>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</si>
  <si>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</si>
  <si>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</si>
  <si>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</si>
  <si>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</si>
  <si>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</si>
  <si>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</si>
  <si>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</si>
  <si>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</si>
  <si>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</si>
  <si>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</si>
  <si>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</si>
  <si>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</si>
  <si>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</si>
  <si>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</si>
  <si>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</si>
  <si>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</si>
  <si>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</si>
  <si>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</si>
  <si>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</si>
  <si>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</si>
  <si>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</si>
  <si>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</si>
  <si>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</si>
  <si>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</si>
  <si>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</si>
  <si>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</si>
  <si>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</si>
  <si>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</si>
  <si>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</si>
  <si>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</si>
  <si>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</si>
  <si>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</si>
  <si>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</si>
  <si>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</si>
  <si>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</si>
  <si>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</si>
  <si>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</si>
  <si>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</si>
  <si>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</si>
  <si>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</si>
  <si>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</si>
  <si>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</si>
  <si>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</si>
  <si>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</si>
  <si>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</si>
  <si>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</si>
  <si>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</si>
  <si>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</si>
  <si>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</si>
  <si>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</si>
  <si>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</si>
  <si>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</si>
  <si>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</si>
  <si>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</si>
  <si>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</si>
  <si>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</si>
  <si>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</si>
  <si>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</si>
  <si>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</si>
  <si>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</si>
  <si>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</si>
  <si>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</si>
  <si>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</si>
  <si>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</si>
  <si>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</si>
  <si>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</si>
  <si>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</si>
  <si>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</si>
  <si>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</si>
  <si>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</si>
  <si>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</si>
  <si>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</si>
  <si>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</si>
  <si>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</si>
  <si>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</si>
  <si>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</si>
  <si>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</si>
  <si>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</si>
  <si>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</si>
  <si>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</si>
  <si>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</si>
  <si>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</si>
  <si>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</si>
  <si>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</si>
  <si>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</si>
  <si>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</si>
  <si>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</si>
  <si>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</si>
  <si>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</si>
  <si>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</si>
  <si>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</si>
  <si>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</si>
  <si>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</si>
  <si>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</si>
  <si>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</si>
  <si>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</si>
  <si>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</si>
  <si>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</si>
  <si>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</si>
  <si>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</si>
  <si>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</si>
  <si>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</si>
  <si>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</si>
  <si>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</si>
  <si>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</si>
  <si>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</si>
  <si>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</si>
  <si>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</si>
  <si>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</si>
  <si>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</si>
  <si>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</si>
  <si>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</si>
  <si>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</si>
  <si>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</si>
  <si>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</si>
  <si>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</si>
  <si>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</si>
  <si>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</si>
  <si>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</si>
  <si>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</si>
  <si>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</si>
  <si>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</si>
  <si>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</si>
  <si>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</si>
  <si>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</si>
  <si>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</si>
  <si>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</si>
  <si>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</si>
  <si>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</si>
  <si>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</si>
  <si>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</si>
  <si>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</si>
  <si>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</si>
  <si>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</si>
  <si>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</si>
  <si>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</si>
  <si>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</si>
  <si>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</si>
  <si>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</si>
  <si>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</si>
  <si>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</si>
  <si>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</si>
  <si>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</si>
  <si>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</si>
  <si>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</si>
  <si>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</si>
  <si>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</si>
  <si>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</si>
  <si>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</si>
  <si>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</si>
  <si>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</si>
  <si>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</si>
  <si>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</si>
  <si>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</si>
  <si>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</si>
  <si>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</si>
  <si>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</si>
  <si>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</si>
  <si>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</si>
  <si>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</si>
  <si>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</si>
  <si>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</si>
  <si>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</si>
  <si>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</si>
  <si>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</si>
  <si>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</si>
  <si>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</si>
  <si>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</si>
  <si>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</si>
  <si>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</si>
  <si>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</si>
  <si>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</si>
  <si>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</si>
  <si>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</si>
  <si>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</si>
  <si>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</si>
  <si>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</si>
  <si>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</si>
  <si>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</si>
  <si>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</si>
  <si>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</si>
  <si>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</si>
  <si>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</si>
  <si>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</si>
  <si>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</si>
  <si>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</si>
  <si>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</si>
  <si>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</si>
  <si>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</si>
  <si>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</si>
  <si>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</si>
  <si>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</si>
  <si>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</si>
  <si>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</si>
  <si>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</si>
  <si>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</si>
  <si>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</si>
  <si>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</si>
  <si>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</si>
  <si>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</si>
  <si>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</si>
  <si>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</si>
  <si>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</si>
  <si>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</si>
  <si>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</si>
  <si>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</si>
  <si>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</si>
  <si>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</si>
  <si>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</si>
  <si>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</si>
  <si>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</si>
  <si>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</si>
  <si>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</si>
  <si>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</si>
  <si>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</si>
  <si>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</si>
  <si>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</si>
  <si>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</si>
  <si>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</si>
  <si>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</si>
  <si>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</si>
  <si>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</si>
  <si>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</si>
  <si>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</si>
  <si>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</si>
  <si>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</si>
  <si>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</si>
  <si>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</si>
  <si>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</si>
  <si>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</si>
  <si>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</si>
  <si>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</si>
  <si>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</si>
  <si>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</si>
  <si>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</si>
  <si>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</si>
  <si>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</si>
  <si>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</si>
  <si>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</si>
  <si>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</si>
  <si>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</si>
  <si>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</si>
  <si>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</si>
  <si>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</si>
  <si>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</si>
  <si>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</si>
  <si>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</si>
  <si>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</si>
  <si>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</si>
  <si>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</si>
  <si>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</si>
  <si>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</si>
  <si>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</si>
  <si>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</si>
  <si>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</si>
  <si>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</si>
  <si>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</si>
  <si>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</si>
  <si>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</si>
  <si>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</si>
  <si>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</si>
  <si>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</si>
  <si>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</si>
  <si>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</si>
  <si>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</si>
  <si>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</si>
  <si>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</si>
  <si>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</si>
  <si>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</si>
  <si>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</si>
  <si>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</si>
  <si>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</si>
  <si>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</si>
  <si>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</si>
  <si>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</si>
  <si>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</si>
  <si>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</si>
  <si>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</si>
  <si>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</si>
  <si>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</si>
  <si>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</si>
  <si>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</si>
  <si>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</si>
  <si>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</si>
  <si>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</si>
  <si>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</si>
  <si>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</si>
  <si>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</si>
  <si>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</si>
  <si>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</si>
  <si>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</si>
  <si>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</si>
  <si>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</si>
  <si>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</si>
  <si>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</si>
  <si>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</si>
  <si>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</si>
  <si>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</si>
  <si>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</si>
  <si>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</si>
  <si>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</si>
  <si>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</si>
  <si>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</si>
  <si>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</si>
  <si>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</si>
  <si>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</si>
  <si>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</si>
  <si>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</si>
  <si>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</si>
  <si>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</si>
  <si>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</si>
  <si>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</si>
  <si>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</si>
  <si>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</si>
  <si>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</si>
  <si>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</si>
  <si>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</si>
  <si>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</si>
  <si>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</si>
  <si>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</si>
  <si>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</si>
  <si>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</si>
  <si>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</si>
  <si>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</si>
  <si>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</si>
  <si>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</si>
  <si>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</si>
  <si>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</si>
  <si>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</si>
  <si>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</si>
  <si>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</si>
  <si>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</si>
  <si>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</si>
  <si>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</si>
  <si>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</si>
  <si>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</si>
  <si>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</si>
  <si>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</si>
  <si>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</si>
  <si>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</si>
  <si>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</si>
  <si>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</si>
  <si>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</si>
  <si>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</si>
  <si>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</si>
  <si>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</si>
  <si>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</si>
  <si>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</si>
  <si>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</si>
  <si>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</si>
  <si>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</si>
  <si>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</si>
  <si>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</si>
  <si>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</si>
  <si>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</si>
  <si>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</si>
  <si>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</si>
  <si>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</si>
  <si>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</si>
  <si>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</si>
  <si>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</si>
  <si>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</si>
  <si>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</si>
  <si>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</si>
  <si>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</si>
  <si>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</si>
  <si>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</si>
  <si>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</si>
  <si>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</si>
  <si>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</si>
  <si>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</si>
  <si>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</si>
  <si>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</si>
  <si>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</si>
  <si>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</si>
  <si>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</si>
  <si>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</si>
  <si>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</si>
  <si>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</si>
  <si>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</si>
  <si>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</si>
  <si>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</si>
  <si>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</si>
  <si>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</si>
  <si>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</si>
  <si>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</si>
  <si>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</si>
  <si>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</si>
  <si>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</si>
  <si>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</si>
  <si>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</si>
  <si>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</si>
  <si>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</si>
  <si>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</si>
  <si>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</si>
  <si>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</si>
  <si>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</si>
  <si>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</si>
  <si>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</si>
  <si>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</si>
  <si>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</si>
  <si>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</si>
  <si>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</si>
  <si>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</si>
  <si>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</si>
  <si>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</si>
  <si>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</si>
  <si>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</si>
  <si>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</si>
  <si>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</si>
  <si>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</si>
  <si>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</si>
  <si>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</si>
  <si>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</si>
  <si>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</si>
  <si>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</si>
  <si>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</si>
  <si>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</si>
  <si>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</si>
  <si>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</si>
  <si>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</si>
  <si>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</si>
  <si>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</si>
  <si>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</si>
  <si>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</si>
  <si>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</si>
  <si>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</si>
  <si>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</si>
  <si>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</si>
  <si>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</si>
  <si>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</si>
  <si>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</si>
  <si>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</si>
  <si>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</si>
  <si>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</si>
  <si>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</si>
  <si>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</si>
  <si>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</si>
  <si>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</si>
  <si>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</si>
  <si>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</si>
  <si>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</si>
  <si>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</si>
  <si>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</si>
  <si>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</si>
  <si>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</si>
  <si>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</si>
  <si>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</si>
  <si>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</si>
  <si>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</si>
  <si>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</si>
  <si>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</si>
  <si>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</si>
  <si>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</si>
  <si>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</si>
  <si>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</si>
  <si>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</si>
  <si>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</si>
  <si>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</si>
  <si>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</si>
  <si>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</si>
  <si>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</si>
  <si>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</si>
  <si>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</si>
  <si>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</si>
  <si>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</si>
  <si>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</si>
  <si>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</si>
  <si>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</si>
  <si>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</si>
  <si>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</si>
  <si>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</si>
  <si>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</si>
  <si>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</si>
  <si>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</si>
  <si>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</si>
  <si>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</si>
  <si>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</si>
  <si>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</si>
  <si>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</si>
  <si>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</si>
  <si>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</si>
  <si>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</si>
  <si>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</si>
  <si>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</si>
  <si>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</si>
  <si>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</si>
  <si>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</si>
  <si>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</si>
  <si>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</si>
  <si>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</si>
  <si>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</si>
  <si>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</si>
  <si>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</si>
  <si>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</si>
  <si>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</si>
  <si>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</si>
  <si>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</si>
  <si>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</si>
  <si>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</si>
  <si>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</si>
  <si>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</si>
  <si>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</si>
  <si>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</si>
  <si>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</si>
  <si>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</si>
  <si>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</si>
  <si>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</si>
  <si>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</si>
  <si>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</si>
  <si>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</si>
  <si>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</si>
  <si>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</si>
  <si>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</si>
  <si>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</si>
  <si>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</si>
  <si>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</si>
  <si>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</si>
  <si>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</si>
  <si>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</si>
  <si>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</si>
  <si>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</si>
  <si>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</si>
  <si>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</si>
  <si>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</si>
  <si>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</si>
  <si>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</si>
  <si>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</si>
  <si>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</si>
  <si>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</si>
  <si>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</si>
  <si>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</si>
  <si>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</si>
  <si>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</si>
  <si>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</si>
  <si>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</si>
  <si>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</si>
  <si>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</si>
  <si>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</si>
  <si>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</si>
  <si>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</si>
  <si>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</si>
  <si>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</si>
  <si>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</si>
  <si>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</si>
  <si>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</si>
  <si>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</si>
  <si>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</si>
  <si>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</si>
  <si>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</si>
  <si>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</si>
  <si>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</si>
  <si>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</si>
  <si>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</si>
  <si>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</si>
  <si>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</si>
  <si>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</si>
  <si>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</si>
  <si>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</si>
  <si>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</si>
  <si>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</si>
  <si>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</si>
  <si>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</si>
  <si>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</si>
  <si>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</si>
  <si>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</si>
  <si>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</si>
  <si>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</si>
  <si>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</si>
  <si>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</si>
  <si>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</si>
  <si>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</si>
  <si>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</si>
  <si>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</si>
  <si>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</si>
  <si>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</si>
  <si>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</si>
  <si>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</si>
  <si>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</si>
  <si>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</si>
  <si>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</si>
  <si>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</si>
  <si>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</si>
  <si>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</si>
  <si>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</si>
  <si>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</si>
  <si>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</si>
  <si>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</si>
  <si>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</si>
  <si>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</si>
  <si>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</si>
  <si>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</si>
  <si>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</si>
  <si>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</si>
  <si>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</si>
  <si>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</si>
  <si>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</si>
  <si>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</si>
  <si>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</si>
  <si>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</si>
  <si>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</si>
  <si>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</si>
  <si>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</si>
  <si>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</si>
  <si>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</si>
  <si>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</si>
  <si>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</si>
  <si>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</si>
  <si>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</si>
  <si>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</si>
  <si>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</si>
  <si>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</si>
  <si>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</si>
  <si>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</si>
  <si>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</si>
  <si>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</si>
  <si>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</si>
  <si>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</si>
  <si>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</si>
  <si>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</si>
  <si>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</si>
  <si>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</si>
  <si>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</si>
  <si>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</si>
  <si>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</si>
  <si>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</si>
  <si>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</si>
  <si>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</si>
  <si>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</si>
  <si>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</si>
  <si>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</si>
  <si>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</si>
  <si>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</si>
  <si>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</si>
  <si>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</si>
  <si>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</si>
  <si>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</si>
  <si>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</si>
  <si>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</si>
  <si>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</si>
  <si>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</si>
  <si>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</si>
  <si>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</si>
  <si>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</si>
  <si>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</si>
  <si>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</si>
  <si>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</si>
  <si>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</si>
  <si>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</si>
  <si>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</si>
  <si>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</si>
  <si>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</si>
  <si>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</si>
  <si>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</si>
  <si>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</si>
  <si>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</si>
  <si>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</si>
  <si>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</si>
  <si>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</si>
  <si>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</si>
  <si>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</si>
  <si>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</si>
  <si>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</si>
  <si>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</si>
  <si>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</si>
  <si>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</si>
  <si>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</si>
  <si>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</si>
  <si>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</si>
  <si>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</si>
  <si>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</si>
  <si>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</si>
  <si>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</si>
  <si>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</si>
  <si>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</si>
  <si>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</si>
  <si>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</si>
  <si>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</si>
  <si>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</si>
  <si>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</si>
  <si>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</si>
  <si>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</si>
  <si>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</si>
  <si>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</si>
  <si>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</si>
  <si>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</si>
  <si>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</si>
  <si>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</si>
  <si>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</si>
  <si>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</si>
  <si>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</si>
  <si>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</si>
  <si>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</si>
  <si>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</si>
  <si>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</si>
  <si>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</si>
  <si>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</si>
  <si>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</si>
  <si>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</si>
  <si>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</si>
  <si>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</si>
  <si>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</si>
  <si>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</si>
  <si>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</si>
  <si>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</si>
  <si>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</si>
  <si>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</si>
  <si>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</si>
  <si>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</si>
  <si>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</si>
  <si>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</si>
  <si>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</si>
  <si>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</si>
  <si>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</si>
  <si>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</si>
  <si>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</si>
  <si>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</si>
  <si>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</si>
  <si>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</si>
  <si>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</si>
  <si>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</si>
  <si>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</si>
  <si>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</si>
  <si>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</si>
  <si>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</si>
  <si>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</si>
  <si>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</si>
  <si>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</si>
  <si>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</si>
  <si>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</si>
  <si>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</si>
  <si>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</si>
  <si>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</si>
  <si>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</si>
  <si>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</si>
  <si>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</si>
  <si>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</si>
  <si>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</si>
  <si>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</si>
  <si>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</si>
  <si>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</si>
  <si>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</si>
  <si>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</si>
  <si>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</si>
  <si>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</si>
  <si>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</si>
  <si>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</si>
  <si>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</si>
  <si>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</si>
  <si>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</si>
  <si>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</si>
  <si>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</si>
  <si>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</si>
  <si>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</si>
  <si>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</si>
  <si>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</si>
  <si>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</si>
  <si>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</si>
  <si>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</si>
  <si>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</si>
  <si>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</si>
  <si>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</si>
  <si>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</si>
  <si>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</si>
  <si>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</si>
  <si>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</si>
  <si>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</si>
  <si>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</si>
  <si>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</si>
  <si>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</si>
  <si>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</si>
  <si>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</si>
  <si>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</si>
  <si>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</si>
  <si>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</si>
  <si>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</si>
  <si>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</si>
  <si>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</si>
  <si>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</si>
  <si>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</si>
  <si>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</si>
  <si>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</si>
  <si>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</si>
  <si>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</si>
  <si>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</si>
  <si>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</si>
  <si>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</si>
  <si>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</si>
  <si>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</si>
  <si>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</si>
  <si>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</si>
  <si>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</si>
  <si>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</si>
  <si>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</si>
  <si>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</si>
  <si>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</si>
  <si>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</si>
  <si>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</si>
  <si>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</si>
  <si>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</si>
  <si>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</si>
  <si>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</si>
  <si>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</si>
  <si>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</si>
  <si>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</si>
  <si>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</si>
  <si>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</si>
  <si>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</si>
  <si>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</si>
  <si>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</si>
  <si>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</si>
  <si>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</si>
  <si>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</si>
  <si>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</si>
  <si>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</si>
  <si>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</si>
  <si>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</si>
  <si>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</si>
  <si>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</si>
  <si>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</si>
  <si>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</si>
  <si>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</si>
  <si>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</si>
  <si>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</si>
  <si>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</si>
  <si>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</si>
  <si>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</si>
  <si>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</si>
  <si>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</si>
  <si>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</si>
  <si>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</si>
  <si>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</si>
  <si>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</si>
  <si>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</si>
  <si>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</si>
  <si>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</si>
  <si>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</si>
  <si>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</si>
  <si>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</si>
  <si>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</si>
  <si>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</si>
  <si>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</si>
  <si>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</si>
  <si>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</si>
  <si>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</si>
  <si>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</si>
  <si>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</si>
  <si>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</si>
  <si>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</si>
  <si>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</si>
  <si>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</si>
  <si>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</si>
  <si>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</si>
  <si>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</si>
  <si>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</si>
  <si>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</si>
  <si>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</si>
  <si>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</si>
  <si>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</si>
  <si>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</si>
  <si>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</si>
  <si>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</si>
  <si>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</si>
  <si>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</si>
  <si>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</si>
  <si>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</si>
  <si>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</si>
  <si>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</si>
  <si>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</si>
  <si>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</si>
  <si>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</si>
  <si>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</si>
  <si>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</si>
  <si>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</si>
  <si>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</si>
  <si>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</si>
  <si>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</si>
  <si>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</si>
  <si>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</si>
  <si>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</si>
  <si>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</si>
  <si>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</si>
  <si>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</si>
  <si>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</si>
  <si>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</si>
  <si>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</si>
  <si>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</si>
  <si>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</si>
  <si>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</si>
  <si>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</si>
  <si>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</si>
  <si>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</si>
  <si>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</si>
  <si>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</si>
  <si>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</si>
  <si>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</si>
  <si>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</si>
  <si>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</si>
  <si>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</si>
  <si>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</si>
  <si>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</si>
  <si>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</si>
  <si>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</si>
  <si>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</si>
  <si>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</si>
  <si>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</si>
  <si>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</si>
  <si>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KEENE</t>
  </si>
  <si>
    <t>7/99</t>
  </si>
  <si>
    <t>08/19</t>
  </si>
  <si>
    <t>08/06</t>
  </si>
  <si>
    <t>08/16</t>
  </si>
  <si>
    <t>08/39</t>
  </si>
  <si>
    <t>7/10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</si>
</sst>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4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9" fontId="2" fillId="0" borderId="0" xfId="0" quotePrefix="1" applyNumberFormat="1" applyFont="1" applyAlignment="1" applyProtection="1">
      <alignment horizontal="center"/>
      <protection locked="0"/>
    </xf>
    <xf numFmtId="38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279</v>
      </c>
      <c r="C2" s="21">
        <v>279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2359700.21+900-941125.74</f>
        <v>1419474.47</v>
      </c>
      <c r="G9" s="18">
        <f>387930.11+300</f>
        <v>388230.11</v>
      </c>
      <c r="H9" s="18">
        <f>257187.1+436.94+19798.69</f>
        <v>277422.73</v>
      </c>
      <c r="I9" s="18"/>
      <c r="J9" s="67">
        <f>SUM(I439)</f>
        <v>590321.48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323901.95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501076.95</v>
      </c>
      <c r="G13" s="18">
        <v>65181.35</v>
      </c>
      <c r="H13" s="18">
        <f>377830.59+22762.07+2000</f>
        <v>402592.66000000003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21746.04</v>
      </c>
      <c r="G14" s="18">
        <v>4370.1499999999996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14866.3</v>
      </c>
      <c r="G17" s="18"/>
      <c r="H17" s="18">
        <v>18705</v>
      </c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2281065.71</v>
      </c>
      <c r="G19" s="41">
        <f>SUM(G9:G18)</f>
        <v>457781.61</v>
      </c>
      <c r="H19" s="41">
        <f>SUM(H9:H18)</f>
        <v>698720.39</v>
      </c>
      <c r="I19" s="41">
        <f>SUM(I9:I18)</f>
        <v>0</v>
      </c>
      <c r="J19" s="41">
        <f>SUM(J9:J18)</f>
        <v>590321.48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>
        <f>318402.3+5499.65</f>
        <v>323901.95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34321.550000000003</v>
      </c>
      <c r="G23" s="18"/>
      <c r="H23" s="18">
        <v>27610.44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239653.38</v>
      </c>
      <c r="G24" s="18">
        <v>18.149999999999999</v>
      </c>
      <c r="H24" s="18">
        <f>6767.99+443.28+12901.05+612.23</f>
        <v>20724.55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184339.20000000001</v>
      </c>
      <c r="G28" s="18">
        <v>3468.83</v>
      </c>
      <c r="H28" s="18">
        <f>25049.86+3918.26+1053.59</f>
        <v>30021.710000000003</v>
      </c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>
        <v>28133.86</v>
      </c>
      <c r="H30" s="18">
        <v>74254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458314.13</v>
      </c>
      <c r="G32" s="41">
        <f>SUM(G22:G31)</f>
        <v>31620.84</v>
      </c>
      <c r="H32" s="41">
        <f>SUM(H22:H31)</f>
        <v>476512.65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14866.3</v>
      </c>
      <c r="G36" s="18"/>
      <c r="H36" s="18">
        <v>18705</v>
      </c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426160.77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>
        <f>7136.14+168550.73</f>
        <v>175686.87000000002</v>
      </c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100001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158242.62</v>
      </c>
      <c r="G45" s="18"/>
      <c r="H45" s="18">
        <f>9683+700</f>
        <v>10383</v>
      </c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>
        <v>17432.87</v>
      </c>
      <c r="I48" s="18"/>
      <c r="J48" s="13">
        <f>SUM(I459)</f>
        <v>590321.48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1549641.66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1822751.5799999998</v>
      </c>
      <c r="G51" s="41">
        <f>SUM(G35:G50)</f>
        <v>426160.77</v>
      </c>
      <c r="H51" s="41">
        <f>SUM(H35:H50)</f>
        <v>222207.74000000002</v>
      </c>
      <c r="I51" s="41">
        <f>SUM(I35:I50)</f>
        <v>0</v>
      </c>
      <c r="J51" s="41">
        <f>SUM(J35:J50)</f>
        <v>590321.48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2281065.71</v>
      </c>
      <c r="G52" s="41">
        <f>G51+G32</f>
        <v>457781.61000000004</v>
      </c>
      <c r="H52" s="41">
        <f>H51+H32</f>
        <v>698720.39</v>
      </c>
      <c r="I52" s="41">
        <f>I51+I32</f>
        <v>0</v>
      </c>
      <c r="J52" s="41">
        <f>J51+J32</f>
        <v>590321.48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29254779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29254779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112453.51</v>
      </c>
      <c r="G63" s="24" t="s">
        <v>288</v>
      </c>
      <c r="H63" s="18">
        <f>154261.5+11610</f>
        <v>165871.5</v>
      </c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>
        <v>7157.5</v>
      </c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>
        <v>216005</v>
      </c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>
        <v>77189</v>
      </c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8253442.1699999999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3007209.52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v>58646.74</v>
      </c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11431751.939999999</v>
      </c>
      <c r="G79" s="45" t="s">
        <v>288</v>
      </c>
      <c r="H79" s="41">
        <f>SUM(H63:H78)</f>
        <v>466223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8648.1200000000008</v>
      </c>
      <c r="G96" s="18"/>
      <c r="H96" s="18"/>
      <c r="I96" s="18"/>
      <c r="J96" s="18">
        <f>114.54+21.56+1.28+0.24+4.75+1864.28+20.9+175.21</f>
        <v>2202.7600000000002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266482.06+38132.95+445745.35+27166.59+4006.08</f>
        <v>781533.02999999991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2020.86</v>
      </c>
      <c r="G98" s="24" t="s">
        <v>288</v>
      </c>
      <c r="H98" s="18">
        <v>440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54233.3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1</v>
      </c>
      <c r="G102" s="18"/>
      <c r="H102" s="18">
        <f>56137.17+14603.66</f>
        <v>70740.83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>
        <v>3495</v>
      </c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257267.11</v>
      </c>
      <c r="G105" s="18"/>
      <c r="H105" s="18">
        <v>82832.53</v>
      </c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3704.43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195544.76+105385.82</f>
        <v>300930.58</v>
      </c>
      <c r="G110" s="18">
        <v>21825</v>
      </c>
      <c r="H110" s="18">
        <v>10000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626805.4</v>
      </c>
      <c r="G111" s="41">
        <f>SUM(G96:G110)</f>
        <v>803358.02999999991</v>
      </c>
      <c r="H111" s="41">
        <f>SUM(H96:H110)</f>
        <v>167508.35999999999</v>
      </c>
      <c r="I111" s="41">
        <f>SUM(I96:I110)</f>
        <v>0</v>
      </c>
      <c r="J111" s="41">
        <f>SUM(J96:J110)</f>
        <v>2202.7600000000002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41313336.339999996</v>
      </c>
      <c r="G112" s="41">
        <f>G60+G111</f>
        <v>803358.02999999991</v>
      </c>
      <c r="H112" s="41">
        <f>H60+H79+H94+H111</f>
        <v>633731.36</v>
      </c>
      <c r="I112" s="41">
        <f>I60+I111</f>
        <v>0</v>
      </c>
      <c r="J112" s="41">
        <f>J60+J111</f>
        <v>2202.7600000000002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10342976.939999999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4167984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1685.96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14512646.9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1589988.04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789270.28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239154.6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13453.05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2618412.9200000004</v>
      </c>
      <c r="G136" s="41">
        <f>SUM(G123:G135)</f>
        <v>13453.05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17131059.82</v>
      </c>
      <c r="G140" s="41">
        <f>G121+SUM(G136:G137)</f>
        <v>13453.05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790397.28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159386.31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v>323619.78999999998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>
        <v>176296.75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721798.76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833220.13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539667.97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539667.97</v>
      </c>
      <c r="G162" s="41">
        <f>SUM(G150:G161)</f>
        <v>721798.76</v>
      </c>
      <c r="H162" s="41">
        <f>SUM(H150:H161)</f>
        <v>2282920.2600000002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539667.97</v>
      </c>
      <c r="G169" s="41">
        <f>G147+G162+SUM(G163:G168)</f>
        <v>721798.76</v>
      </c>
      <c r="H169" s="41">
        <f>H147+H162+SUM(H163:H168)</f>
        <v>2282920.2600000002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50000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>
        <v>272</v>
      </c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50272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50272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58984064.129999995</v>
      </c>
      <c r="G193" s="47">
        <f>G112+G140+G169+G192</f>
        <v>1538609.8399999999</v>
      </c>
      <c r="H193" s="47">
        <f>H112+H140+H169+H192</f>
        <v>2916651.62</v>
      </c>
      <c r="I193" s="47">
        <f>I112+I140+I169+I192</f>
        <v>0</v>
      </c>
      <c r="J193" s="47">
        <f>J112+J140+J192</f>
        <v>52474.76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5117471.38</f>
        <v>5117471.38</v>
      </c>
      <c r="G197" s="18">
        <f>2230067.22</f>
        <v>2230067.2200000002</v>
      </c>
      <c r="H197" s="18">
        <f>4570.79</f>
        <v>4570.79</v>
      </c>
      <c r="I197" s="18">
        <f>241949.78</f>
        <v>241949.78</v>
      </c>
      <c r="J197" s="18">
        <f>16095.57</f>
        <v>16095.57</v>
      </c>
      <c r="K197" s="18">
        <f>17128.07</f>
        <v>17128.07</v>
      </c>
      <c r="L197" s="19">
        <f>SUM(F197:K197)</f>
        <v>7627282.8100000005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2942714.33+121546.06</f>
        <v>3064260.39</v>
      </c>
      <c r="G198" s="18">
        <f>1127060.22+49332.67</f>
        <v>1176392.8899999999</v>
      </c>
      <c r="H198" s="18">
        <f>527492.01+1215.17</f>
        <v>528707.18000000005</v>
      </c>
      <c r="I198" s="18">
        <f>23018.99+692.23</f>
        <v>23711.22</v>
      </c>
      <c r="J198" s="18">
        <f>2861.48</f>
        <v>2861.48</v>
      </c>
      <c r="K198" s="18"/>
      <c r="L198" s="19">
        <f>SUM(F198:K198)</f>
        <v>4795933.16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f>4682+17125+4212.5</f>
        <v>26019.5</v>
      </c>
      <c r="G200" s="18">
        <f>1025.87+3147.76+995.44</f>
        <v>5169.07</v>
      </c>
      <c r="H200" s="18">
        <f>200</f>
        <v>200</v>
      </c>
      <c r="I200" s="18">
        <f>84.1+2103.62</f>
        <v>2187.7199999999998</v>
      </c>
      <c r="J200" s="18"/>
      <c r="K200" s="18">
        <f>150</f>
        <v>150</v>
      </c>
      <c r="L200" s="19">
        <f>SUM(F200:K200)</f>
        <v>33726.29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32293.79+305368.93+249259.42+285797.51+653184.05+188674.76+40207.72</f>
        <v>1754786.1800000002</v>
      </c>
      <c r="G202" s="18">
        <f>2610.85+134356.12+98120.4+122893.31+275772.31+83161.18+15481.5</f>
        <v>732395.66999999993</v>
      </c>
      <c r="H202" s="18">
        <f>5678.75+6.1+787+4792.89+83899.45+117051.05</f>
        <v>212215.24</v>
      </c>
      <c r="I202" s="18">
        <f>3747.56+1556.96+1553.21+792.24</f>
        <v>7649.97</v>
      </c>
      <c r="J202" s="18"/>
      <c r="K202" s="18"/>
      <c r="L202" s="19">
        <f t="shared" ref="L202:L208" si="0">SUM(F202:K202)</f>
        <v>2707047.06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3500+40564.73+13851.7+213879.64</f>
        <v>271796.07</v>
      </c>
      <c r="G203" s="18">
        <f>823.34+9605.16+34344.95+98396.6</f>
        <v>143170.04999999999</v>
      </c>
      <c r="H203" s="18">
        <f>56162.25+24422.99</f>
        <v>80585.240000000005</v>
      </c>
      <c r="I203" s="18">
        <f>9213.43+5100.63+22080.83+2391.69</f>
        <v>38786.58</v>
      </c>
      <c r="J203" s="18">
        <f>5374.79</f>
        <v>5374.79</v>
      </c>
      <c r="K203" s="18">
        <f>150</f>
        <v>150</v>
      </c>
      <c r="L203" s="19">
        <f t="shared" si="0"/>
        <v>539862.73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7909.96+500+2035+2220+212812.7</f>
        <v>225477.66</v>
      </c>
      <c r="G204" s="18">
        <f>11186.68+650.56+41.25+167.88+180.9+101555.33+4411.33</f>
        <v>118193.93000000001</v>
      </c>
      <c r="H204" s="18">
        <f>771.35+5309.5+28645.32+769390.2+6883.39</f>
        <v>810999.76</v>
      </c>
      <c r="I204" s="18">
        <f>5719.41+1054.35</f>
        <v>6773.76</v>
      </c>
      <c r="J204" s="18"/>
      <c r="K204" s="18">
        <f>13466.05+5299.58+462.75</f>
        <v>19228.379999999997</v>
      </c>
      <c r="L204" s="19">
        <f t="shared" si="0"/>
        <v>1180673.49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f>696439.49</f>
        <v>696439.49</v>
      </c>
      <c r="G205" s="18">
        <f>268598.42</f>
        <v>268598.42</v>
      </c>
      <c r="H205" s="18">
        <f>35363.52</f>
        <v>35363.519999999997</v>
      </c>
      <c r="I205" s="18">
        <f>3639.76</f>
        <v>3639.76</v>
      </c>
      <c r="J205" s="18"/>
      <c r="K205" s="18">
        <f>1514</f>
        <v>1514</v>
      </c>
      <c r="L205" s="19">
        <f t="shared" si="0"/>
        <v>1005555.19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>
        <f>7397.04</f>
        <v>7397.04</v>
      </c>
      <c r="I206" s="18"/>
      <c r="J206" s="18"/>
      <c r="K206" s="18">
        <f>648.45</f>
        <v>648.45000000000005</v>
      </c>
      <c r="L206" s="19">
        <f t="shared" si="0"/>
        <v>8045.49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522738.96+2306.25</f>
        <v>525045.21</v>
      </c>
      <c r="G207" s="18">
        <f>263629.28+176.43</f>
        <v>263805.71000000002</v>
      </c>
      <c r="H207" s="18">
        <f>267471.35+27656.22</f>
        <v>295127.56999999995</v>
      </c>
      <c r="I207" s="18">
        <f>268129.44</f>
        <v>268129.44</v>
      </c>
      <c r="J207" s="18">
        <f>27303.47</f>
        <v>27303.47</v>
      </c>
      <c r="K207" s="18">
        <f>2940.88</f>
        <v>2940.88</v>
      </c>
      <c r="L207" s="19">
        <f t="shared" si="0"/>
        <v>1382352.2799999996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326829.86+369263.3+13958.87</f>
        <v>710052.02999999991</v>
      </c>
      <c r="I208" s="18"/>
      <c r="J208" s="18"/>
      <c r="K208" s="18"/>
      <c r="L208" s="19">
        <f t="shared" si="0"/>
        <v>710052.02999999991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f>24923.7</f>
        <v>24923.7</v>
      </c>
      <c r="G209" s="18">
        <v>12812.45</v>
      </c>
      <c r="H209" s="18">
        <f>427.46+5918.16+11673.96</f>
        <v>18019.579999999998</v>
      </c>
      <c r="I209" s="18">
        <f>159.1+89497.4</f>
        <v>89656.5</v>
      </c>
      <c r="J209" s="18">
        <f>247060.27</f>
        <v>247060.27</v>
      </c>
      <c r="K209" s="18"/>
      <c r="L209" s="19">
        <f>SUM(F209:K209)</f>
        <v>392472.5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11706219.579999998</v>
      </c>
      <c r="G211" s="41">
        <f t="shared" si="1"/>
        <v>4950605.41</v>
      </c>
      <c r="H211" s="41">
        <f t="shared" si="1"/>
        <v>2703237.9499999997</v>
      </c>
      <c r="I211" s="41">
        <f t="shared" si="1"/>
        <v>682484.73</v>
      </c>
      <c r="J211" s="41">
        <f t="shared" si="1"/>
        <v>298695.57999999996</v>
      </c>
      <c r="K211" s="41">
        <f t="shared" si="1"/>
        <v>41759.779999999992</v>
      </c>
      <c r="L211" s="41">
        <f t="shared" si="1"/>
        <v>20383003.030000001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2718263.09</v>
      </c>
      <c r="G215" s="18">
        <v>1227361.17</v>
      </c>
      <c r="H215" s="18">
        <v>3529.5</v>
      </c>
      <c r="I215" s="18">
        <v>74995.679999999993</v>
      </c>
      <c r="J215" s="18">
        <v>12581.58</v>
      </c>
      <c r="K215" s="18">
        <v>246</v>
      </c>
      <c r="L215" s="19">
        <f>SUM(F215:K215)</f>
        <v>4036977.02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f>1041861.92+41800.02</f>
        <v>1083661.94</v>
      </c>
      <c r="G216" s="18">
        <f>478202.99+27619.14</f>
        <v>505822.13</v>
      </c>
      <c r="H216" s="18">
        <v>636285.92000000004</v>
      </c>
      <c r="I216" s="18">
        <v>14570.58</v>
      </c>
      <c r="J216" s="18"/>
      <c r="K216" s="18"/>
      <c r="L216" s="19">
        <f>SUM(F216:K216)</f>
        <v>2240340.5699999998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f>42438.81+37238.94+7692.45</f>
        <v>87370.2</v>
      </c>
      <c r="G218" s="18">
        <f>9113.82+6256.26+1821.62</f>
        <v>17191.7</v>
      </c>
      <c r="H218" s="18">
        <f>3600+7522.25</f>
        <v>11122.25</v>
      </c>
      <c r="I218" s="18">
        <f>3949.14+8430.04</f>
        <v>12379.18</v>
      </c>
      <c r="J218" s="18">
        <v>3681.93</v>
      </c>
      <c r="K218" s="18">
        <f>730+2980</f>
        <v>3710</v>
      </c>
      <c r="L218" s="19">
        <f>SUM(F218:K218)</f>
        <v>135455.25999999998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f>3591.31+202601.5+70960.5+146793.39+60960.12+6169.79+44749.9</f>
        <v>535826.51</v>
      </c>
      <c r="G220" s="18">
        <f>296.36+106203.62+35711.9+65867.23+31458.11+3245.79+10583.78</f>
        <v>253366.78999999998</v>
      </c>
      <c r="H220" s="18">
        <f>42211+2587.25+50516.25</f>
        <v>95314.5</v>
      </c>
      <c r="I220" s="18">
        <f>416.98+1657.79+1258.68+536.88+79.98</f>
        <v>3950.31</v>
      </c>
      <c r="J220" s="18"/>
      <c r="K220" s="18">
        <f>279+150</f>
        <v>429</v>
      </c>
      <c r="L220" s="19">
        <f t="shared" ref="L220:L226" si="2">SUM(F220:K220)</f>
        <v>888887.1100000001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f>3500+5225+23987.26+109763.16</f>
        <v>142475.42000000001</v>
      </c>
      <c r="G221" s="18">
        <f>826.74+1255.68+21991.93+48401.61</f>
        <v>72475.959999999992</v>
      </c>
      <c r="H221" s="18">
        <f>38326.39+276.89+150</f>
        <v>38753.279999999999</v>
      </c>
      <c r="I221" s="18">
        <f>826.4+23831.33+10174.98</f>
        <v>34832.710000000006</v>
      </c>
      <c r="J221" s="18">
        <v>6942.18</v>
      </c>
      <c r="K221" s="18">
        <f>1982+375</f>
        <v>2357</v>
      </c>
      <c r="L221" s="19">
        <f t="shared" si="2"/>
        <v>297836.55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f>4275.7+1100+1200+99005.83</f>
        <v>105581.53</v>
      </c>
      <c r="G222" s="18">
        <f>4636+351.72+90.76+97.8+44272.89+3735.86</f>
        <v>53185.03</v>
      </c>
      <c r="H222" s="18">
        <f>416.94+2870+9757.85+415886.6</f>
        <v>428931.38999999996</v>
      </c>
      <c r="I222" s="18">
        <f>3102.88</f>
        <v>3102.88</v>
      </c>
      <c r="J222" s="18"/>
      <c r="K222" s="18">
        <f>7371.5+2864.66+250.18</f>
        <v>10486.34</v>
      </c>
      <c r="L222" s="19">
        <f t="shared" si="2"/>
        <v>601287.16999999993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442946.12</v>
      </c>
      <c r="G223" s="18">
        <v>173579.13</v>
      </c>
      <c r="H223" s="18">
        <f>29259.87+502.82</f>
        <v>29762.69</v>
      </c>
      <c r="I223" s="18"/>
      <c r="J223" s="18"/>
      <c r="K223" s="18">
        <v>2928.97</v>
      </c>
      <c r="L223" s="19">
        <f t="shared" si="2"/>
        <v>649216.90999999992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>
        <v>3998.4</v>
      </c>
      <c r="I224" s="18"/>
      <c r="J224" s="18"/>
      <c r="K224" s="18"/>
      <c r="L224" s="19">
        <f t="shared" si="2"/>
        <v>3998.4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f>320425.48+1047.55</f>
        <v>321473.02999999997</v>
      </c>
      <c r="G225" s="18">
        <f>132945.27+219.18</f>
        <v>133164.44999999998</v>
      </c>
      <c r="H225" s="18">
        <f>133165.22+129.5</f>
        <v>133294.72</v>
      </c>
      <c r="I225" s="18">
        <v>185705.12</v>
      </c>
      <c r="J225" s="18">
        <v>7002.27</v>
      </c>
      <c r="K225" s="18">
        <v>1860.07</v>
      </c>
      <c r="L225" s="19">
        <f t="shared" si="2"/>
        <v>782499.65999999992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3149.37</v>
      </c>
      <c r="G226" s="18">
        <v>424.52</v>
      </c>
      <c r="H226" s="18">
        <f>168425.6+133563.92+20657.74+9753.77</f>
        <v>332401.03000000003</v>
      </c>
      <c r="I226" s="18"/>
      <c r="J226" s="18"/>
      <c r="K226" s="18"/>
      <c r="L226" s="19">
        <f t="shared" si="2"/>
        <v>335974.92000000004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13472.28</v>
      </c>
      <c r="G227" s="18">
        <v>6925.41</v>
      </c>
      <c r="H227" s="18">
        <f>231.06+3264.7+6462.76</f>
        <v>9958.52</v>
      </c>
      <c r="I227" s="18">
        <f>6+56099.34</f>
        <v>56105.34</v>
      </c>
      <c r="J227" s="18">
        <v>164656.88</v>
      </c>
      <c r="K227" s="18"/>
      <c r="L227" s="19">
        <f>SUM(F227:K227)</f>
        <v>251118.43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5454219.4900000012</v>
      </c>
      <c r="G229" s="41">
        <f>SUM(G215:G228)</f>
        <v>2443496.29</v>
      </c>
      <c r="H229" s="41">
        <f>SUM(H215:H228)</f>
        <v>1723352.2</v>
      </c>
      <c r="I229" s="41">
        <f>SUM(I215:I228)</f>
        <v>385641.80000000005</v>
      </c>
      <c r="J229" s="41">
        <f>SUM(J215:J228)</f>
        <v>194864.84</v>
      </c>
      <c r="K229" s="41">
        <f t="shared" si="3"/>
        <v>22017.38</v>
      </c>
      <c r="L229" s="41">
        <f t="shared" si="3"/>
        <v>10223592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f>5385732.05</f>
        <v>5385732.0499999998</v>
      </c>
      <c r="G233" s="18">
        <v>2437365.37</v>
      </c>
      <c r="H233" s="18">
        <v>28904.29</v>
      </c>
      <c r="I233" s="18">
        <v>164531.63</v>
      </c>
      <c r="J233" s="18">
        <v>52203.7</v>
      </c>
      <c r="K233" s="18"/>
      <c r="L233" s="19">
        <f>SUM(F233:K233)</f>
        <v>8068737.04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1740642.22</v>
      </c>
      <c r="G234" s="18">
        <v>774073.06</v>
      </c>
      <c r="H234" s="18">
        <v>1886637.22</v>
      </c>
      <c r="I234" s="18">
        <v>10529.18</v>
      </c>
      <c r="J234" s="18">
        <v>1960.6</v>
      </c>
      <c r="K234" s="18"/>
      <c r="L234" s="19">
        <f>SUM(F234:K234)</f>
        <v>4413842.2799999993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f>790349.8</f>
        <v>790349.8</v>
      </c>
      <c r="G235" s="18">
        <v>358877.8</v>
      </c>
      <c r="H235" s="18">
        <v>21785.119999999999</v>
      </c>
      <c r="I235" s="18">
        <v>49975.74</v>
      </c>
      <c r="J235" s="18">
        <v>20360.259999999998</v>
      </c>
      <c r="K235" s="18">
        <v>30</v>
      </c>
      <c r="L235" s="19">
        <f>SUM(F235:K235)</f>
        <v>1241378.7200000002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f>62482.5+282600.7+4525</f>
        <v>349608.2</v>
      </c>
      <c r="G236" s="18">
        <f>12915.17+80698.55+1092.5</f>
        <v>94706.22</v>
      </c>
      <c r="H236" s="18">
        <f>1998+112458.96</f>
        <v>114456.96000000001</v>
      </c>
      <c r="I236" s="18">
        <f>2590+34842.74+589.42</f>
        <v>38022.159999999996</v>
      </c>
      <c r="J236" s="18">
        <v>12222.45</v>
      </c>
      <c r="K236" s="18">
        <v>10628</v>
      </c>
      <c r="L236" s="19">
        <f>SUM(F236:K236)</f>
        <v>619643.99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f>7721.14+483886.46+141218.09+85929.13+61050.1+25049.43+259071.78</f>
        <v>1063926.1300000001</v>
      </c>
      <c r="G238" s="18">
        <f>636.92+219757.08+71851.79+20391.66+25023.34+2014.46+104860.07</f>
        <v>444535.32</v>
      </c>
      <c r="H238" s="18">
        <f>295+3881+1947.11+10354.45+7465.5+19550</f>
        <v>43493.06</v>
      </c>
      <c r="I238" s="18">
        <f>1179.36+2598.3+800.97+500.02</f>
        <v>5078.6499999999996</v>
      </c>
      <c r="J238" s="18">
        <f>64.5+418.36</f>
        <v>482.86</v>
      </c>
      <c r="K238" s="18">
        <f>300+300</f>
        <v>600</v>
      </c>
      <c r="L238" s="19">
        <f t="shared" ref="L238:L244" si="4">SUM(F238:K238)</f>
        <v>1558116.0200000003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f>2000+32588.55+10525+129611.04</f>
        <v>174724.59</v>
      </c>
      <c r="G239" s="18">
        <f>470.34+7869.92+38405.79+69450.49</f>
        <v>116196.54000000001</v>
      </c>
      <c r="H239" s="18">
        <f>60472.32+768.2</f>
        <v>61240.52</v>
      </c>
      <c r="I239" s="18">
        <f>182.03+2092.49+46804.12</f>
        <v>49078.64</v>
      </c>
      <c r="J239" s="18">
        <f>9715.05</f>
        <v>9715.0499999999993</v>
      </c>
      <c r="K239" s="18">
        <f>2059+267</f>
        <v>2326</v>
      </c>
      <c r="L239" s="19">
        <f t="shared" si="4"/>
        <v>413281.34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f>9192.84+2365+2580+141484.16</f>
        <v>155622</v>
      </c>
      <c r="G240" s="18">
        <f>10007.8+756.26+195.12+210.3+62499.61+8032.1</f>
        <v>81701.19</v>
      </c>
      <c r="H240" s="18">
        <f>896.49+13720.5+43511.91+894156.2</f>
        <v>952285.1</v>
      </c>
      <c r="I240" s="18">
        <f>10296.73</f>
        <v>10296.73</v>
      </c>
      <c r="J240" s="18"/>
      <c r="K240" s="18">
        <f>5927.94+6158.98+537.83</f>
        <v>12624.749999999998</v>
      </c>
      <c r="L240" s="19">
        <f t="shared" si="4"/>
        <v>1212529.77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f>827697.49</f>
        <v>827697.49</v>
      </c>
      <c r="G241" s="18">
        <v>324008.75</v>
      </c>
      <c r="H241" s="18">
        <f>89303.18+500</f>
        <v>89803.18</v>
      </c>
      <c r="I241" s="18">
        <f>12052.74+10136.21</f>
        <v>22188.949999999997</v>
      </c>
      <c r="J241" s="18">
        <v>37611.870000000003</v>
      </c>
      <c r="K241" s="18">
        <v>8592.9</v>
      </c>
      <c r="L241" s="19">
        <f t="shared" si="4"/>
        <v>1309903.1399999999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>
        <v>8596.56</v>
      </c>
      <c r="I242" s="18"/>
      <c r="J242" s="18"/>
      <c r="K242" s="18"/>
      <c r="L242" s="19">
        <f t="shared" si="4"/>
        <v>8596.56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f>636554.66+115594.75+8846.25+4475.53</f>
        <v>765471.19000000006</v>
      </c>
      <c r="G243" s="18">
        <f>292670.41+68558.36+920.4+925.8</f>
        <v>363074.97</v>
      </c>
      <c r="H243" s="18">
        <f>350803.29+127383.6+86329.6+1720.5</f>
        <v>566236.99</v>
      </c>
      <c r="I243" s="18">
        <f>451191.19+18506.54</f>
        <v>469697.73</v>
      </c>
      <c r="J243" s="18">
        <f>16413.69+9816.73</f>
        <v>26230.42</v>
      </c>
      <c r="K243" s="18">
        <v>4531.82</v>
      </c>
      <c r="L243" s="19">
        <f t="shared" si="4"/>
        <v>2195243.1199999996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f>375555.04+333977.3+1626+131201.08+15209.97</f>
        <v>857569.3899999999</v>
      </c>
      <c r="I244" s="18"/>
      <c r="J244" s="18"/>
      <c r="K244" s="18">
        <v>210</v>
      </c>
      <c r="L244" s="19">
        <f t="shared" si="4"/>
        <v>857779.3899999999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f>1642+28965.52</f>
        <v>30607.52</v>
      </c>
      <c r="G245" s="18">
        <f>130.88+14889.76</f>
        <v>15020.64</v>
      </c>
      <c r="H245" s="18">
        <f>496.78+6877.64+26957.01</f>
        <v>34331.43</v>
      </c>
      <c r="I245" s="18">
        <f>264.9+79452.35</f>
        <v>79717.25</v>
      </c>
      <c r="J245" s="18">
        <v>310070.01</v>
      </c>
      <c r="K245" s="18"/>
      <c r="L245" s="19">
        <f>SUM(F245:K245)</f>
        <v>469746.85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11284381.189999999</v>
      </c>
      <c r="G247" s="41">
        <f t="shared" si="5"/>
        <v>5009559.8599999994</v>
      </c>
      <c r="H247" s="41">
        <f t="shared" si="5"/>
        <v>4665339.8199999994</v>
      </c>
      <c r="I247" s="41">
        <f t="shared" si="5"/>
        <v>899116.65999999992</v>
      </c>
      <c r="J247" s="41">
        <f t="shared" si="5"/>
        <v>470857.22000000003</v>
      </c>
      <c r="K247" s="41">
        <f t="shared" si="5"/>
        <v>39543.47</v>
      </c>
      <c r="L247" s="41">
        <f t="shared" si="5"/>
        <v>22368798.220000003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f>2469082.91+70664+232508.41</f>
        <v>2772255.3200000003</v>
      </c>
      <c r="I255" s="18"/>
      <c r="J255" s="18"/>
      <c r="K255" s="18"/>
      <c r="L255" s="19">
        <f t="shared" si="6"/>
        <v>2772255.3200000003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2772255.3200000003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2772255.3200000003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28444820.259999998</v>
      </c>
      <c r="G257" s="41">
        <f t="shared" si="8"/>
        <v>12403661.559999999</v>
      </c>
      <c r="H257" s="41">
        <f t="shared" si="8"/>
        <v>11864185.289999999</v>
      </c>
      <c r="I257" s="41">
        <f t="shared" si="8"/>
        <v>1967243.19</v>
      </c>
      <c r="J257" s="41">
        <f t="shared" si="8"/>
        <v>964417.6399999999</v>
      </c>
      <c r="K257" s="41">
        <f t="shared" si="8"/>
        <v>103320.62999999999</v>
      </c>
      <c r="L257" s="41">
        <f t="shared" si="8"/>
        <v>55747648.57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2755197.58</v>
      </c>
      <c r="L260" s="19">
        <f>SUM(F260:K260)</f>
        <v>2755197.58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768251.17</v>
      </c>
      <c r="L261" s="19">
        <f>SUM(F261:K261)</f>
        <v>768251.17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3573448.75</v>
      </c>
      <c r="L270" s="41">
        <f t="shared" si="9"/>
        <v>3573448.75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28444820.259999998</v>
      </c>
      <c r="G271" s="42">
        <f t="shared" si="11"/>
        <v>12403661.559999999</v>
      </c>
      <c r="H271" s="42">
        <f t="shared" si="11"/>
        <v>11864185.289999999</v>
      </c>
      <c r="I271" s="42">
        <f t="shared" si="11"/>
        <v>1967243.19</v>
      </c>
      <c r="J271" s="42">
        <f t="shared" si="11"/>
        <v>964417.6399999999</v>
      </c>
      <c r="K271" s="42">
        <f t="shared" si="11"/>
        <v>3676769.38</v>
      </c>
      <c r="L271" s="42">
        <f t="shared" si="11"/>
        <v>59321097.32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441120.92</v>
      </c>
      <c r="G276" s="18">
        <v>145555.13</v>
      </c>
      <c r="H276" s="18">
        <v>1180.6400000000001</v>
      </c>
      <c r="I276" s="18">
        <v>10182.64</v>
      </c>
      <c r="J276" s="18">
        <v>2052</v>
      </c>
      <c r="K276" s="18"/>
      <c r="L276" s="19">
        <f>SUM(F276:K276)</f>
        <v>600091.33000000007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f>73540.26</f>
        <v>73540.259999999995</v>
      </c>
      <c r="G277" s="18">
        <v>15845.49</v>
      </c>
      <c r="H277" s="18"/>
      <c r="I277" s="18">
        <f>15390.69+812.87</f>
        <v>16203.560000000001</v>
      </c>
      <c r="J277" s="18"/>
      <c r="K277" s="18"/>
      <c r="L277" s="19">
        <f>SUM(F277:K277)</f>
        <v>105589.31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f>24990</f>
        <v>24990</v>
      </c>
      <c r="G279" s="18">
        <v>2698.74</v>
      </c>
      <c r="H279" s="18">
        <v>8872.5</v>
      </c>
      <c r="I279" s="18">
        <f>1038.81+888.12</f>
        <v>1926.9299999999998</v>
      </c>
      <c r="J279" s="18"/>
      <c r="K279" s="18">
        <f>1242.53+516</f>
        <v>1758.53</v>
      </c>
      <c r="L279" s="19">
        <f>SUM(F279:K279)</f>
        <v>40246.699999999997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f>9837.5+40750+23610.94</f>
        <v>74198.44</v>
      </c>
      <c r="G281" s="18">
        <f>774.4+15963.72-0.01+1876.46</f>
        <v>18614.57</v>
      </c>
      <c r="H281" s="18">
        <f>457.41+1000+1790.25</f>
        <v>3247.66</v>
      </c>
      <c r="I281" s="18">
        <f>122.41+10099.76</f>
        <v>10222.17</v>
      </c>
      <c r="J281" s="18"/>
      <c r="K281" s="18">
        <f>3346.18</f>
        <v>3346.18</v>
      </c>
      <c r="L281" s="19">
        <f t="shared" ref="L281:L287" si="12">SUM(F281:K281)</f>
        <v>109629.02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f>2790.12+105073.17+67380+9879-2608.5</f>
        <v>182513.78999999998</v>
      </c>
      <c r="G282" s="18">
        <f>421.99+57460.34+33564.43+2320.94-622.79</f>
        <v>93144.91</v>
      </c>
      <c r="H282" s="18">
        <f>72665.84+18970.64+11400.92+399.5</f>
        <v>103436.9</v>
      </c>
      <c r="I282" s="18">
        <f>607.95+183.89</f>
        <v>791.84</v>
      </c>
      <c r="J282" s="18"/>
      <c r="K282" s="18"/>
      <c r="L282" s="19">
        <f t="shared" si="12"/>
        <v>379887.44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f>50680.58</f>
        <v>50680.58</v>
      </c>
      <c r="G283" s="18">
        <v>26870.03</v>
      </c>
      <c r="H283" s="18">
        <f>1526.42</f>
        <v>1526.42</v>
      </c>
      <c r="I283" s="18"/>
      <c r="J283" s="18"/>
      <c r="K283" s="18"/>
      <c r="L283" s="19">
        <f t="shared" si="12"/>
        <v>79077.03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>
        <f>3682.81+21645.65</f>
        <v>25328.460000000003</v>
      </c>
      <c r="L284" s="19">
        <f t="shared" si="12"/>
        <v>25328.460000000003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38205.730000000003</v>
      </c>
      <c r="L285" s="19">
        <f t="shared" si="12"/>
        <v>38205.730000000003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f>305</f>
        <v>305</v>
      </c>
      <c r="I287" s="18"/>
      <c r="J287" s="18"/>
      <c r="K287" s="18"/>
      <c r="L287" s="19">
        <f t="shared" si="12"/>
        <v>305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>
        <v>1244.8599999999999</v>
      </c>
      <c r="K288" s="18"/>
      <c r="L288" s="19">
        <f>SUM(F288:K288)</f>
        <v>1244.8599999999999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847043.98999999987</v>
      </c>
      <c r="G290" s="42">
        <f t="shared" si="13"/>
        <v>302728.87</v>
      </c>
      <c r="H290" s="42">
        <f t="shared" si="13"/>
        <v>118569.12</v>
      </c>
      <c r="I290" s="42">
        <f t="shared" si="13"/>
        <v>39327.14</v>
      </c>
      <c r="J290" s="42">
        <f t="shared" si="13"/>
        <v>3296.8599999999997</v>
      </c>
      <c r="K290" s="42">
        <f t="shared" si="13"/>
        <v>68638.900000000009</v>
      </c>
      <c r="L290" s="41">
        <f t="shared" si="13"/>
        <v>1379604.8800000001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f>5340-1410</f>
        <v>3930</v>
      </c>
      <c r="G301" s="18">
        <f>1254.56-336.64</f>
        <v>917.92</v>
      </c>
      <c r="H301" s="18">
        <f>10254.4+6162.66</f>
        <v>16417.059999999998</v>
      </c>
      <c r="I301" s="18">
        <f>99.4</f>
        <v>99.4</v>
      </c>
      <c r="J301" s="18"/>
      <c r="K301" s="18"/>
      <c r="L301" s="19">
        <f t="shared" si="14"/>
        <v>21364.379999999997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>
        <f>1990.71</f>
        <v>1990.71</v>
      </c>
      <c r="L304" s="19">
        <f t="shared" si="14"/>
        <v>1990.71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>
        <v>803.59</v>
      </c>
      <c r="J307" s="18"/>
      <c r="K307" s="18"/>
      <c r="L307" s="19">
        <f>SUM(F307:K307)</f>
        <v>803.59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3930</v>
      </c>
      <c r="G309" s="42">
        <f t="shared" si="15"/>
        <v>917.92</v>
      </c>
      <c r="H309" s="42">
        <f t="shared" si="15"/>
        <v>16417.059999999998</v>
      </c>
      <c r="I309" s="42">
        <f t="shared" si="15"/>
        <v>902.99</v>
      </c>
      <c r="J309" s="42">
        <f t="shared" si="15"/>
        <v>0</v>
      </c>
      <c r="K309" s="42">
        <f t="shared" si="15"/>
        <v>1990.71</v>
      </c>
      <c r="L309" s="41">
        <f t="shared" si="15"/>
        <v>24158.679999999997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>
        <f>187279.84</f>
        <v>187279.84</v>
      </c>
      <c r="I314" s="18">
        <f>216.82+249</f>
        <v>465.82</v>
      </c>
      <c r="J314" s="18">
        <v>40419.24</v>
      </c>
      <c r="K314" s="18"/>
      <c r="L314" s="19">
        <f>SUM(F314:K314)</f>
        <v>228164.9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68046</v>
      </c>
      <c r="G315" s="18">
        <v>36496.639999999999</v>
      </c>
      <c r="H315" s="18"/>
      <c r="I315" s="18"/>
      <c r="J315" s="18">
        <v>78263.16</v>
      </c>
      <c r="K315" s="18"/>
      <c r="L315" s="19">
        <f>SUM(F315:K315)</f>
        <v>182805.8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19441</v>
      </c>
      <c r="G316" s="18">
        <v>1621.16</v>
      </c>
      <c r="H316" s="18">
        <v>15869.6</v>
      </c>
      <c r="I316" s="18">
        <v>19898.88</v>
      </c>
      <c r="J316" s="18"/>
      <c r="K316" s="18">
        <v>2775</v>
      </c>
      <c r="L316" s="19">
        <f>SUM(F316:K316)</f>
        <v>59605.64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f>5340+21247.9</f>
        <v>26587.9</v>
      </c>
      <c r="G317" s="18">
        <f>606.32+4616.53</f>
        <v>5222.8499999999995</v>
      </c>
      <c r="H317" s="18">
        <f>1625+3803.39</f>
        <v>5428.3899999999994</v>
      </c>
      <c r="I317" s="18">
        <f>1470.75</f>
        <v>1470.75</v>
      </c>
      <c r="J317" s="18"/>
      <c r="K317" s="18"/>
      <c r="L317" s="19">
        <f>SUM(F317:K317)</f>
        <v>38709.89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f>45950.12+49500+62981</f>
        <v>158431.12</v>
      </c>
      <c r="G319" s="18">
        <f>30725.41+27044.74+30384.99</f>
        <v>88155.14</v>
      </c>
      <c r="H319" s="18">
        <f>2056.52</f>
        <v>2056.52</v>
      </c>
      <c r="I319" s="18"/>
      <c r="J319" s="18"/>
      <c r="K319" s="18"/>
      <c r="L319" s="19">
        <f t="shared" ref="L319:L325" si="16">SUM(F319:K319)</f>
        <v>248642.78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f>8525+25592.4+525.76+1500+11481-3031.5</f>
        <v>44592.66</v>
      </c>
      <c r="G320" s="18">
        <f>2047.17+14200.58+43.37+123.75+2697.31-723.78</f>
        <v>18388.400000000005</v>
      </c>
      <c r="H320" s="18">
        <f>24124.03+22046.96+13249.71+399.5</f>
        <v>59820.2</v>
      </c>
      <c r="I320" s="18">
        <f>2033.14+1606+213.71</f>
        <v>3852.8500000000004</v>
      </c>
      <c r="J320" s="18"/>
      <c r="K320" s="18">
        <v>4683.1400000000003</v>
      </c>
      <c r="L320" s="19">
        <f t="shared" si="16"/>
        <v>131337.25000000003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>
        <v>44226</v>
      </c>
      <c r="I321" s="18"/>
      <c r="J321" s="18"/>
      <c r="K321" s="18"/>
      <c r="L321" s="19">
        <f t="shared" si="16"/>
        <v>44226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>
        <f>16532.6+4280.03+21645.64+7269.31</f>
        <v>49727.579999999994</v>
      </c>
      <c r="L323" s="19">
        <f t="shared" si="16"/>
        <v>49727.579999999994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>
        <v>5675.81</v>
      </c>
      <c r="G324" s="18">
        <v>450</v>
      </c>
      <c r="H324" s="18">
        <f>43745.09+1800</f>
        <v>45545.09</v>
      </c>
      <c r="I324" s="18"/>
      <c r="J324" s="18"/>
      <c r="K324" s="18"/>
      <c r="L324" s="19">
        <f t="shared" si="16"/>
        <v>51670.899999999994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>
        <v>4524.1899999999996</v>
      </c>
      <c r="I325" s="18"/>
      <c r="J325" s="18"/>
      <c r="K325" s="18"/>
      <c r="L325" s="19">
        <f t="shared" si="16"/>
        <v>4524.1899999999996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322774.49000000005</v>
      </c>
      <c r="G328" s="42">
        <f t="shared" si="17"/>
        <v>150334.19</v>
      </c>
      <c r="H328" s="42">
        <f t="shared" si="17"/>
        <v>364749.83</v>
      </c>
      <c r="I328" s="42">
        <f t="shared" si="17"/>
        <v>25688.300000000003</v>
      </c>
      <c r="J328" s="42">
        <f t="shared" si="17"/>
        <v>118682.4</v>
      </c>
      <c r="K328" s="42">
        <f t="shared" si="17"/>
        <v>57185.719999999994</v>
      </c>
      <c r="L328" s="41">
        <f t="shared" si="17"/>
        <v>1039414.9299999999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>
        <f>1764</f>
        <v>1764</v>
      </c>
      <c r="I332" s="18"/>
      <c r="J332" s="18"/>
      <c r="K332" s="18"/>
      <c r="L332" s="19">
        <f t="shared" ref="L332:L337" si="18">SUM(F332:K332)</f>
        <v>1764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292892.40000000002</v>
      </c>
      <c r="G333" s="18">
        <v>84920.21</v>
      </c>
      <c r="H333" s="18">
        <v>40770.03</v>
      </c>
      <c r="I333" s="18">
        <v>27964.7</v>
      </c>
      <c r="J333" s="18">
        <v>12650.29</v>
      </c>
      <c r="K333" s="18">
        <v>11091.39</v>
      </c>
      <c r="L333" s="19">
        <f t="shared" si="18"/>
        <v>470289.02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>
        <f>10190</f>
        <v>10190</v>
      </c>
      <c r="I336" s="18"/>
      <c r="J336" s="18"/>
      <c r="K336" s="18"/>
      <c r="L336" s="19">
        <f t="shared" si="18"/>
        <v>10190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292892.40000000002</v>
      </c>
      <c r="G337" s="41">
        <f t="shared" si="19"/>
        <v>84920.21</v>
      </c>
      <c r="H337" s="41">
        <f t="shared" si="19"/>
        <v>52724.03</v>
      </c>
      <c r="I337" s="41">
        <f t="shared" si="19"/>
        <v>27964.7</v>
      </c>
      <c r="J337" s="41">
        <f t="shared" si="19"/>
        <v>12650.29</v>
      </c>
      <c r="K337" s="41">
        <f t="shared" si="19"/>
        <v>11091.39</v>
      </c>
      <c r="L337" s="41">
        <f t="shared" si="18"/>
        <v>482243.02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1466640.88</v>
      </c>
      <c r="G338" s="41">
        <f t="shared" si="20"/>
        <v>538901.18999999994</v>
      </c>
      <c r="H338" s="41">
        <f t="shared" si="20"/>
        <v>552460.04</v>
      </c>
      <c r="I338" s="41">
        <f t="shared" si="20"/>
        <v>93883.12999999999</v>
      </c>
      <c r="J338" s="41">
        <f t="shared" si="20"/>
        <v>134629.54999999999</v>
      </c>
      <c r="K338" s="41">
        <f t="shared" si="20"/>
        <v>138906.72000000003</v>
      </c>
      <c r="L338" s="41">
        <f t="shared" si="20"/>
        <v>2925421.5100000002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1466640.88</v>
      </c>
      <c r="G352" s="41">
        <f>G338</f>
        <v>538901.18999999994</v>
      </c>
      <c r="H352" s="41">
        <f>H338</f>
        <v>552460.04</v>
      </c>
      <c r="I352" s="41">
        <f>I338</f>
        <v>93883.12999999999</v>
      </c>
      <c r="J352" s="41">
        <f>J338</f>
        <v>134629.54999999999</v>
      </c>
      <c r="K352" s="47">
        <f>K338+K351</f>
        <v>138906.72000000003</v>
      </c>
      <c r="L352" s="41">
        <f>L338+L351</f>
        <v>2925421.5100000002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144913.43</v>
      </c>
      <c r="G358" s="18">
        <v>36378.379999999997</v>
      </c>
      <c r="H358" s="18">
        <v>4926.93</v>
      </c>
      <c r="I358" s="18">
        <v>186094.26</v>
      </c>
      <c r="J358" s="18"/>
      <c r="K358" s="18"/>
      <c r="L358" s="13">
        <f>SUM(F358:K358)</f>
        <v>372313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134352.91</v>
      </c>
      <c r="G359" s="18">
        <v>44766.77</v>
      </c>
      <c r="H359" s="18">
        <v>3444.83</v>
      </c>
      <c r="I359" s="18">
        <v>187705.4</v>
      </c>
      <c r="J359" s="18"/>
      <c r="K359" s="18"/>
      <c r="L359" s="19">
        <f>SUM(F359:K359)</f>
        <v>370269.91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213097.15</v>
      </c>
      <c r="G360" s="18">
        <v>102583.02</v>
      </c>
      <c r="H360" s="18">
        <v>11947.18</v>
      </c>
      <c r="I360" s="18">
        <v>335077.12</v>
      </c>
      <c r="J360" s="18"/>
      <c r="K360" s="18">
        <v>601.86</v>
      </c>
      <c r="L360" s="19">
        <f>SUM(F360:K360)</f>
        <v>663306.32999999996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492363.49</v>
      </c>
      <c r="G362" s="47">
        <f t="shared" si="22"/>
        <v>183728.16999999998</v>
      </c>
      <c r="H362" s="47">
        <f t="shared" si="22"/>
        <v>20318.940000000002</v>
      </c>
      <c r="I362" s="47">
        <f t="shared" si="22"/>
        <v>708876.78</v>
      </c>
      <c r="J362" s="47">
        <f t="shared" si="22"/>
        <v>0</v>
      </c>
      <c r="K362" s="47">
        <f t="shared" si="22"/>
        <v>601.86</v>
      </c>
      <c r="L362" s="47">
        <f t="shared" si="22"/>
        <v>1405889.2399999998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185348.28</v>
      </c>
      <c r="G367" s="18">
        <f>179240.85+1770</f>
        <v>181010.85</v>
      </c>
      <c r="H367" s="18">
        <f>304152.28+4361.25</f>
        <v>308513.53000000003</v>
      </c>
      <c r="I367" s="56">
        <f>SUM(F367:H367)</f>
        <v>674872.66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f>-461.11+1207.09</f>
        <v>745.9799999999999</v>
      </c>
      <c r="G368" s="63">
        <v>6694.55</v>
      </c>
      <c r="H368" s="63">
        <v>26563.59</v>
      </c>
      <c r="I368" s="56">
        <f>SUM(F368:H368)</f>
        <v>34004.120000000003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186094.26</v>
      </c>
      <c r="G369" s="47">
        <f>SUM(G367:G368)</f>
        <v>187705.4</v>
      </c>
      <c r="H369" s="47">
        <f>SUM(H367:H368)</f>
        <v>335077.12000000005</v>
      </c>
      <c r="I369" s="47">
        <f>SUM(I367:I368)</f>
        <v>708876.78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>
        <v>272</v>
      </c>
      <c r="L381" s="13">
        <f t="shared" si="23"/>
        <v>272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272</v>
      </c>
      <c r="L382" s="47">
        <f t="shared" si="24"/>
        <v>272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f>136.1+1864.28</f>
        <v>2000.3799999999999</v>
      </c>
      <c r="I396" s="18"/>
      <c r="J396" s="24" t="s">
        <v>288</v>
      </c>
      <c r="K396" s="24" t="s">
        <v>288</v>
      </c>
      <c r="L396" s="56">
        <f t="shared" si="26"/>
        <v>2000.3799999999999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50000</v>
      </c>
      <c r="H397" s="18">
        <f>4.75+175.21</f>
        <v>179.96</v>
      </c>
      <c r="I397" s="18"/>
      <c r="J397" s="24" t="s">
        <v>288</v>
      </c>
      <c r="K397" s="24" t="s">
        <v>288</v>
      </c>
      <c r="L397" s="56">
        <f t="shared" si="26"/>
        <v>50179.96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>
        <v>272</v>
      </c>
      <c r="H400" s="18">
        <f>1.28+0.24+20.9</f>
        <v>22.419999999999998</v>
      </c>
      <c r="I400" s="18"/>
      <c r="J400" s="24" t="s">
        <v>288</v>
      </c>
      <c r="K400" s="24" t="s">
        <v>288</v>
      </c>
      <c r="L400" s="56">
        <f t="shared" si="26"/>
        <v>294.42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50272</v>
      </c>
      <c r="H401" s="47">
        <f>SUM(H395:H400)</f>
        <v>2202.7599999999998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52474.759999999995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50272</v>
      </c>
      <c r="H408" s="47">
        <f>H393+H401+H407</f>
        <v>2202.7599999999998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52474.759999999995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>
        <f>533941.99+6198.53+50180.96</f>
        <v>590321.48</v>
      </c>
      <c r="H439" s="18"/>
      <c r="I439" s="56">
        <f t="shared" ref="I439:I445" si="33">SUM(F439:H439)</f>
        <v>590321.48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590321.48</v>
      </c>
      <c r="H446" s="13">
        <f>SUM(H439:H445)</f>
        <v>0</v>
      </c>
      <c r="I446" s="13">
        <f>SUM(I439:I445)</f>
        <v>590321.48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f>G439</f>
        <v>590321.48</v>
      </c>
      <c r="H459" s="18"/>
      <c r="I459" s="56">
        <f t="shared" si="34"/>
        <v>590321.48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590321.48</v>
      </c>
      <c r="H460" s="83">
        <f>SUM(H454:H459)</f>
        <v>0</v>
      </c>
      <c r="I460" s="83">
        <f>SUM(I454:I459)</f>
        <v>590321.48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590321.48</v>
      </c>
      <c r="H461" s="42">
        <f>H452+H460</f>
        <v>0</v>
      </c>
      <c r="I461" s="42">
        <f>I452+I460</f>
        <v>590321.48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2159784.77</v>
      </c>
      <c r="G465" s="18">
        <v>293440.17</v>
      </c>
      <c r="H465" s="18">
        <v>231111.32</v>
      </c>
      <c r="I465" s="18">
        <v>272</v>
      </c>
      <c r="J465" s="18">
        <v>623418.05000000005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58984064.130000003</v>
      </c>
      <c r="G468" s="18">
        <v>1538609.84</v>
      </c>
      <c r="H468" s="18">
        <f>2282920.26+56137.17+533783.03+43811.16</f>
        <v>2916651.62</v>
      </c>
      <c r="I468" s="18"/>
      <c r="J468" s="18">
        <f>50000+272+114.54+1.28+4.75+21.56+0.24+1864.28+20.9+175.21</f>
        <v>52474.759999999995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58984064.130000003</v>
      </c>
      <c r="G470" s="53">
        <f>SUM(G468:G469)</f>
        <v>1538609.84</v>
      </c>
      <c r="H470" s="53">
        <f>SUM(H468:H469)</f>
        <v>2916651.62</v>
      </c>
      <c r="I470" s="53">
        <f>SUM(I468:I469)</f>
        <v>0</v>
      </c>
      <c r="J470" s="53">
        <f>SUM(J468:J469)</f>
        <v>52474.759999999995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59321097.32</v>
      </c>
      <c r="G472" s="18">
        <v>1405889.24</v>
      </c>
      <c r="H472" s="18">
        <f>2282920.26+70831.42+540531.52+31138.31</f>
        <v>2925421.51</v>
      </c>
      <c r="I472" s="18">
        <v>272</v>
      </c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>
        <v>133.69</v>
      </c>
      <c r="I473" s="18"/>
      <c r="J473" s="18">
        <f>7761.53+77809.8</f>
        <v>85571.33</v>
      </c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59321097.32</v>
      </c>
      <c r="G474" s="53">
        <f>SUM(G472:G473)</f>
        <v>1405889.24</v>
      </c>
      <c r="H474" s="53">
        <f>SUM(H472:H473)</f>
        <v>2925555.1999999997</v>
      </c>
      <c r="I474" s="53">
        <f>SUM(I472:I473)</f>
        <v>272</v>
      </c>
      <c r="J474" s="53">
        <f>SUM(J472:J473)</f>
        <v>85571.33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1822751.5800000057</v>
      </c>
      <c r="G476" s="53">
        <f>(G465+G470)- G474</f>
        <v>426160.77</v>
      </c>
      <c r="H476" s="53">
        <f>(H465+H470)- H474</f>
        <v>222207.74000000022</v>
      </c>
      <c r="I476" s="53">
        <f>(I465+I470)- I474</f>
        <v>0</v>
      </c>
      <c r="J476" s="53">
        <f>(J465+J470)- J474</f>
        <v>590321.4800000001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>
        <v>10</v>
      </c>
      <c r="H490" s="154">
        <v>29</v>
      </c>
      <c r="I490" s="154">
        <v>29</v>
      </c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 t="s">
        <v>915</v>
      </c>
      <c r="H491" s="276" t="s">
        <v>918</v>
      </c>
      <c r="I491" s="276" t="s">
        <v>918</v>
      </c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 t="s">
        <v>916</v>
      </c>
      <c r="H492" s="275" t="s">
        <v>917</v>
      </c>
      <c r="I492" s="276" t="s">
        <v>917</v>
      </c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17500000</v>
      </c>
      <c r="G493" s="18">
        <v>1225000</v>
      </c>
      <c r="H493" s="18">
        <v>35115529.659999996</v>
      </c>
      <c r="I493" s="18">
        <v>1817970.34</v>
      </c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5.2</v>
      </c>
      <c r="G494" s="18">
        <v>3.79</v>
      </c>
      <c r="H494" s="18">
        <v>4.4400000000000004</v>
      </c>
      <c r="I494" s="18">
        <v>4.4400000000000004</v>
      </c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3500000</v>
      </c>
      <c r="G495" s="18">
        <v>120000</v>
      </c>
      <c r="H495" s="18">
        <v>24531193.640000001</v>
      </c>
      <c r="I495" s="18">
        <v>1270007.3899999999</v>
      </c>
      <c r="J495" s="18"/>
      <c r="K495" s="53">
        <f>SUM(F495:J495)</f>
        <v>29421201.030000001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875000</v>
      </c>
      <c r="G497" s="18">
        <v>120000</v>
      </c>
      <c r="H497" s="18">
        <f>1122058.54+551497.18</f>
        <v>1673555.7200000002</v>
      </c>
      <c r="I497" s="18">
        <f>58090.23+28551.63</f>
        <v>86641.86</v>
      </c>
      <c r="J497" s="18"/>
      <c r="K497" s="53">
        <f t="shared" si="35"/>
        <v>2755197.58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f>F495-F497</f>
        <v>2625000</v>
      </c>
      <c r="G498" s="204">
        <f t="shared" ref="G498:I498" si="36">G495-G497</f>
        <v>0</v>
      </c>
      <c r="H498" s="204">
        <f t="shared" si="36"/>
        <v>22857637.920000002</v>
      </c>
      <c r="I498" s="204">
        <f t="shared" si="36"/>
        <v>1183365.5299999998</v>
      </c>
      <c r="J498" s="204"/>
      <c r="K498" s="205">
        <f t="shared" si="35"/>
        <v>26666003.450000003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206718.75</v>
      </c>
      <c r="G499" s="18">
        <v>0</v>
      </c>
      <c r="H499" s="18">
        <v>28901098.050000001</v>
      </c>
      <c r="I499" s="18">
        <v>1496242.25</v>
      </c>
      <c r="J499" s="18"/>
      <c r="K499" s="53">
        <f t="shared" si="35"/>
        <v>30604059.050000001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2831718.75</v>
      </c>
      <c r="G500" s="42">
        <f>SUM(G498:G499)</f>
        <v>0</v>
      </c>
      <c r="H500" s="42">
        <f>SUM(H498:H499)</f>
        <v>51758735.969999999</v>
      </c>
      <c r="I500" s="42">
        <f>SUM(I498:I499)</f>
        <v>2679607.7799999998</v>
      </c>
      <c r="J500" s="42">
        <f>SUM(J498:J499)</f>
        <v>0</v>
      </c>
      <c r="K500" s="42">
        <f t="shared" si="35"/>
        <v>57270062.5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875000</v>
      </c>
      <c r="G501" s="204">
        <v>0</v>
      </c>
      <c r="H501" s="204">
        <f>1086034.77+512576.7</f>
        <v>1598611.47</v>
      </c>
      <c r="I501" s="204">
        <f>56225.24+26536.67</f>
        <v>82761.91</v>
      </c>
      <c r="J501" s="204"/>
      <c r="K501" s="205">
        <f t="shared" si="35"/>
        <v>2556373.38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114843.745</v>
      </c>
      <c r="G502" s="18">
        <v>0</v>
      </c>
      <c r="H502" s="18">
        <f>432279.16+221227.2</f>
        <v>653506.36</v>
      </c>
      <c r="I502" s="18">
        <f>22379.58+11453.18</f>
        <v>33832.76</v>
      </c>
      <c r="J502" s="18"/>
      <c r="K502" s="53">
        <f t="shared" si="35"/>
        <v>802182.86499999999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989843.745</v>
      </c>
      <c r="G503" s="42">
        <f>SUM(G501:G502)</f>
        <v>0</v>
      </c>
      <c r="H503" s="42">
        <f>SUM(H501:H502)</f>
        <v>2252117.83</v>
      </c>
      <c r="I503" s="42">
        <f>SUM(I501:I502)</f>
        <v>116594.67000000001</v>
      </c>
      <c r="J503" s="42">
        <f>SUM(J501:J502)</f>
        <v>0</v>
      </c>
      <c r="K503" s="42">
        <f t="shared" si="35"/>
        <v>3358556.2450000001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3016254.59</v>
      </c>
      <c r="G521" s="18">
        <v>1142905.71</v>
      </c>
      <c r="H521" s="18">
        <v>527492.01</v>
      </c>
      <c r="I521" s="18">
        <v>38409.68</v>
      </c>
      <c r="J521" s="18">
        <v>2861.48</v>
      </c>
      <c r="K521" s="18"/>
      <c r="L521" s="88">
        <f>SUM(F521:K521)</f>
        <v>4727923.47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1041861.92</v>
      </c>
      <c r="G522" s="18">
        <v>478202.99</v>
      </c>
      <c r="H522" s="18">
        <v>636285.92000000004</v>
      </c>
      <c r="I522" s="18">
        <v>14570.58</v>
      </c>
      <c r="J522" s="18"/>
      <c r="K522" s="18"/>
      <c r="L522" s="88">
        <f>SUM(F522:K522)</f>
        <v>2170921.41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1808688.22</v>
      </c>
      <c r="G523" s="18">
        <v>30725.41</v>
      </c>
      <c r="H523" s="18">
        <v>1886637.22</v>
      </c>
      <c r="I523" s="18">
        <v>10529.18</v>
      </c>
      <c r="J523" s="18"/>
      <c r="K523" s="18"/>
      <c r="L523" s="88">
        <f>SUM(F523:K523)</f>
        <v>3736580.03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5866804.7299999995</v>
      </c>
      <c r="G524" s="108">
        <f t="shared" ref="G524:L524" si="37">SUM(G521:G523)</f>
        <v>1651834.1099999999</v>
      </c>
      <c r="H524" s="108">
        <f t="shared" si="37"/>
        <v>3050415.1500000004</v>
      </c>
      <c r="I524" s="108">
        <f t="shared" si="37"/>
        <v>63509.440000000002</v>
      </c>
      <c r="J524" s="108">
        <f t="shared" si="37"/>
        <v>2861.48</v>
      </c>
      <c r="K524" s="108">
        <f t="shared" si="37"/>
        <v>0</v>
      </c>
      <c r="L524" s="89">
        <f t="shared" si="37"/>
        <v>10635424.91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4556037.25-3016254.59-198887.82</f>
        <v>1340894.8400000001</v>
      </c>
      <c r="G526" s="18">
        <f>1821702.68-1142905.71-98275.3</f>
        <v>580521.66999999993</v>
      </c>
      <c r="H526" s="18">
        <f>1165036.18-527492.01-6883.39-369263.3</f>
        <v>261397.47999999992</v>
      </c>
      <c r="I526" s="18">
        <f>48604.71-38409.68-1054.35</f>
        <v>9140.6799999999985</v>
      </c>
      <c r="J526" s="18"/>
      <c r="K526" s="18">
        <v>150</v>
      </c>
      <c r="L526" s="88">
        <f>SUM(F526:K526)</f>
        <v>2192104.67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f>1376535.2-1041861.92-76000.08</f>
        <v>258673.1999999999</v>
      </c>
      <c r="G527" s="18">
        <f>628157.81-478202.99-38799.91</f>
        <v>111154.91000000006</v>
      </c>
      <c r="H527" s="18">
        <f>868308.91-636285.92-133563.92</f>
        <v>98459.069999999978</v>
      </c>
      <c r="I527" s="18">
        <f>16446.12-14570.58</f>
        <v>1875.5399999999991</v>
      </c>
      <c r="J527" s="18"/>
      <c r="K527" s="18"/>
      <c r="L527" s="88">
        <f>SUM(F527:K527)</f>
        <v>470162.71999999991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f>2405611.8-101312.54-1808688.22</f>
        <v>495611.0399999998</v>
      </c>
      <c r="G528" s="18">
        <f>1066857.16-30725.41-52958.48</f>
        <v>983173.2699999999</v>
      </c>
      <c r="H528" s="18">
        <f>2286027.2-1886637.22-22532.52-333977.3-205+799</f>
        <v>43474.160000000207</v>
      </c>
      <c r="I528" s="18">
        <f>800.97+500.02</f>
        <v>1300.99</v>
      </c>
      <c r="J528" s="18"/>
      <c r="K528" s="18">
        <v>90</v>
      </c>
      <c r="L528" s="88">
        <f>SUM(F528:K528)</f>
        <v>1523649.4599999997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2095179.0799999998</v>
      </c>
      <c r="G529" s="89">
        <f t="shared" ref="G529:L529" si="38">SUM(G526:G528)</f>
        <v>1674849.8499999999</v>
      </c>
      <c r="H529" s="89">
        <f t="shared" si="38"/>
        <v>403330.71000000014</v>
      </c>
      <c r="I529" s="89">
        <f t="shared" si="38"/>
        <v>12317.209999999997</v>
      </c>
      <c r="J529" s="89">
        <f t="shared" si="38"/>
        <v>0</v>
      </c>
      <c r="K529" s="89">
        <f t="shared" si="38"/>
        <v>240</v>
      </c>
      <c r="L529" s="89">
        <f t="shared" si="38"/>
        <v>4185916.8499999996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198887.82</v>
      </c>
      <c r="G531" s="18">
        <v>98275.3</v>
      </c>
      <c r="H531" s="18">
        <v>6883.39</v>
      </c>
      <c r="I531" s="18">
        <v>1054.3499999999999</v>
      </c>
      <c r="J531" s="18">
        <v>1960.6</v>
      </c>
      <c r="K531" s="18">
        <v>1672.69</v>
      </c>
      <c r="L531" s="88">
        <f>SUM(F531:K531)</f>
        <v>308734.14999999997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76000.08</v>
      </c>
      <c r="G532" s="18">
        <v>38799.910000000003</v>
      </c>
      <c r="H532" s="18"/>
      <c r="I532" s="18"/>
      <c r="J532" s="18"/>
      <c r="K532" s="18"/>
      <c r="L532" s="88">
        <f>SUM(F532:K532)</f>
        <v>114799.99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101312.54</v>
      </c>
      <c r="G533" s="18">
        <v>52958.48</v>
      </c>
      <c r="H533" s="18"/>
      <c r="I533" s="18"/>
      <c r="J533" s="18"/>
      <c r="K533" s="18"/>
      <c r="L533" s="88">
        <f>SUM(F533:K533)</f>
        <v>154271.01999999999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376200.44</v>
      </c>
      <c r="G534" s="89">
        <f t="shared" ref="G534:L534" si="39">SUM(G531:G533)</f>
        <v>190033.69000000003</v>
      </c>
      <c r="H534" s="89">
        <f t="shared" si="39"/>
        <v>6883.39</v>
      </c>
      <c r="I534" s="89">
        <f t="shared" si="39"/>
        <v>1054.3499999999999</v>
      </c>
      <c r="J534" s="89">
        <f t="shared" si="39"/>
        <v>1960.6</v>
      </c>
      <c r="K534" s="89">
        <f t="shared" si="39"/>
        <v>1672.69</v>
      </c>
      <c r="L534" s="89">
        <f t="shared" si="39"/>
        <v>577805.15999999992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22532.52</v>
      </c>
      <c r="I538" s="18"/>
      <c r="J538" s="18"/>
      <c r="K538" s="18"/>
      <c r="L538" s="88">
        <f>SUM(F538:K538)</f>
        <v>22532.52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22532.52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22532.52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369263.3</v>
      </c>
      <c r="I541" s="18"/>
      <c r="J541" s="18"/>
      <c r="K541" s="18"/>
      <c r="L541" s="88">
        <f>SUM(F541:K541)</f>
        <v>369263.3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133563.92000000001</v>
      </c>
      <c r="I542" s="18"/>
      <c r="J542" s="18"/>
      <c r="K542" s="18"/>
      <c r="L542" s="88">
        <f>SUM(F542:K542)</f>
        <v>133563.92000000001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f>333977.3+205</f>
        <v>334182.3</v>
      </c>
      <c r="I543" s="18"/>
      <c r="J543" s="18"/>
      <c r="K543" s="18"/>
      <c r="L543" s="88">
        <f>SUM(F543:K543)</f>
        <v>334182.3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837009.52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837009.52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8338184.25</v>
      </c>
      <c r="G545" s="89">
        <f t="shared" ref="G545:L545" si="42">G524+G529+G534+G539+G544</f>
        <v>3516717.65</v>
      </c>
      <c r="H545" s="89">
        <f t="shared" si="42"/>
        <v>4320171.290000001</v>
      </c>
      <c r="I545" s="89">
        <f t="shared" si="42"/>
        <v>76881</v>
      </c>
      <c r="J545" s="89">
        <f t="shared" si="42"/>
        <v>4822.08</v>
      </c>
      <c r="K545" s="89">
        <f t="shared" si="42"/>
        <v>1912.69</v>
      </c>
      <c r="L545" s="89">
        <f t="shared" si="42"/>
        <v>16258688.959999999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4727923.47</v>
      </c>
      <c r="G549" s="87">
        <f>L526</f>
        <v>2192104.67</v>
      </c>
      <c r="H549" s="87">
        <f>L531</f>
        <v>308734.14999999997</v>
      </c>
      <c r="I549" s="87">
        <f>L536</f>
        <v>0</v>
      </c>
      <c r="J549" s="87">
        <f>L541</f>
        <v>369263.3</v>
      </c>
      <c r="K549" s="87">
        <f>SUM(F549:J549)</f>
        <v>7598025.5899999999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2170921.41</v>
      </c>
      <c r="G550" s="87">
        <f>L527</f>
        <v>470162.71999999991</v>
      </c>
      <c r="H550" s="87">
        <f>L532</f>
        <v>114799.99</v>
      </c>
      <c r="I550" s="87">
        <f>L537</f>
        <v>0</v>
      </c>
      <c r="J550" s="87">
        <f>L542</f>
        <v>133563.92000000001</v>
      </c>
      <c r="K550" s="87">
        <f>SUM(F550:J550)</f>
        <v>2889448.04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3736580.03</v>
      </c>
      <c r="G551" s="87">
        <f>L528</f>
        <v>1523649.4599999997</v>
      </c>
      <c r="H551" s="87">
        <f>L533</f>
        <v>154271.01999999999</v>
      </c>
      <c r="I551" s="87">
        <f>L538</f>
        <v>22532.52</v>
      </c>
      <c r="J551" s="87">
        <f>L543</f>
        <v>334182.3</v>
      </c>
      <c r="K551" s="87">
        <f>SUM(F551:J551)</f>
        <v>5771215.3299999982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3">SUM(F549:F551)</f>
        <v>10635424.91</v>
      </c>
      <c r="G552" s="89">
        <f t="shared" si="43"/>
        <v>4185916.8499999996</v>
      </c>
      <c r="H552" s="89">
        <f t="shared" si="43"/>
        <v>577805.15999999992</v>
      </c>
      <c r="I552" s="89">
        <f t="shared" si="43"/>
        <v>22532.52</v>
      </c>
      <c r="J552" s="89">
        <f t="shared" si="43"/>
        <v>837009.52</v>
      </c>
      <c r="K552" s="89">
        <f t="shared" si="43"/>
        <v>16258688.959999997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121546.06</v>
      </c>
      <c r="G562" s="18">
        <v>49332.67</v>
      </c>
      <c r="H562" s="18">
        <v>1215.17</v>
      </c>
      <c r="I562" s="18">
        <v>692.23</v>
      </c>
      <c r="J562" s="18"/>
      <c r="K562" s="18"/>
      <c r="L562" s="88">
        <f>SUM(F562:K562)</f>
        <v>172786.13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5">SUM(F562:F564)</f>
        <v>121546.06</v>
      </c>
      <c r="G565" s="89">
        <f t="shared" si="45"/>
        <v>49332.67</v>
      </c>
      <c r="H565" s="89">
        <f t="shared" si="45"/>
        <v>1215.17</v>
      </c>
      <c r="I565" s="89">
        <f t="shared" si="45"/>
        <v>692.23</v>
      </c>
      <c r="J565" s="89">
        <f t="shared" si="45"/>
        <v>0</v>
      </c>
      <c r="K565" s="89">
        <f t="shared" si="45"/>
        <v>0</v>
      </c>
      <c r="L565" s="89">
        <f t="shared" si="45"/>
        <v>172786.13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>
        <v>41800.019999999997</v>
      </c>
      <c r="G568" s="18">
        <v>27619.14</v>
      </c>
      <c r="H568" s="18"/>
      <c r="I568" s="18"/>
      <c r="J568" s="18"/>
      <c r="K568" s="18"/>
      <c r="L568" s="88">
        <f>SUM(F568:K568)</f>
        <v>69419.16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41800.019999999997</v>
      </c>
      <c r="G570" s="193">
        <f t="shared" ref="G570:L570" si="46">SUM(G567:G569)</f>
        <v>27619.14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69419.16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163346.07999999999</v>
      </c>
      <c r="G571" s="89">
        <f t="shared" ref="G571:L571" si="47">G560+G565+G570</f>
        <v>76951.81</v>
      </c>
      <c r="H571" s="89">
        <f t="shared" si="47"/>
        <v>1215.17</v>
      </c>
      <c r="I571" s="89">
        <f t="shared" si="47"/>
        <v>692.23</v>
      </c>
      <c r="J571" s="89">
        <f t="shared" si="47"/>
        <v>0</v>
      </c>
      <c r="K571" s="89">
        <f t="shared" si="47"/>
        <v>0</v>
      </c>
      <c r="L571" s="89">
        <f t="shared" si="47"/>
        <v>242205.29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8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63213.87</v>
      </c>
      <c r="G579" s="18">
        <v>19339.78</v>
      </c>
      <c r="H579" s="18">
        <v>2456.91</v>
      </c>
      <c r="I579" s="87">
        <f t="shared" si="48"/>
        <v>85010.559999999998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>
        <v>282354.89</v>
      </c>
      <c r="G580" s="18">
        <v>4940</v>
      </c>
      <c r="H580" s="18">
        <v>1171352.6499999999</v>
      </c>
      <c r="I580" s="87">
        <f t="shared" si="48"/>
        <v>1458647.54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8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176975.49</v>
      </c>
      <c r="G582" s="18">
        <v>599868.32999999996</v>
      </c>
      <c r="H582" s="18">
        <v>697440.83</v>
      </c>
      <c r="I582" s="87">
        <f t="shared" si="48"/>
        <v>1474284.65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4025.28</v>
      </c>
      <c r="I584" s="87">
        <f t="shared" si="48"/>
        <v>4025.28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8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>
        <v>750</v>
      </c>
      <c r="I587" s="87">
        <f t="shared" si="48"/>
        <v>750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326829.86</v>
      </c>
      <c r="I591" s="18">
        <v>168425.60000000001</v>
      </c>
      <c r="J591" s="18">
        <v>375555.04</v>
      </c>
      <c r="K591" s="104">
        <f t="shared" ref="K591:K597" si="49">SUM(H591:J591)</f>
        <v>870810.5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369263.3</v>
      </c>
      <c r="I592" s="18">
        <v>133563.92000000001</v>
      </c>
      <c r="J592" s="18">
        <f>333977.3+205</f>
        <v>334182.3</v>
      </c>
      <c r="K592" s="104">
        <f t="shared" si="49"/>
        <v>837009.52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1836</v>
      </c>
      <c r="K593" s="104">
        <f t="shared" si="49"/>
        <v>1836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20657.740000000002</v>
      </c>
      <c r="J594" s="18">
        <v>131201.07999999999</v>
      </c>
      <c r="K594" s="104">
        <f t="shared" si="49"/>
        <v>151858.81999999998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13958.87</v>
      </c>
      <c r="I595" s="18">
        <v>9753.77</v>
      </c>
      <c r="J595" s="18">
        <f>15209.97-205</f>
        <v>15004.97</v>
      </c>
      <c r="K595" s="104">
        <f t="shared" si="49"/>
        <v>38717.61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>
        <f>3149.37+240.97+171.63+11.92</f>
        <v>3573.89</v>
      </c>
      <c r="J597" s="18"/>
      <c r="K597" s="104">
        <f t="shared" si="49"/>
        <v>3573.89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710052.02999999991</v>
      </c>
      <c r="I598" s="108">
        <f>SUM(I591:I597)</f>
        <v>335974.92000000004</v>
      </c>
      <c r="J598" s="108">
        <f>SUM(J591:J597)</f>
        <v>857779.3899999999</v>
      </c>
      <c r="K598" s="108">
        <f>SUM(K591:K597)</f>
        <v>1903806.34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301992.44</v>
      </c>
      <c r="I604" s="18">
        <v>194864.84</v>
      </c>
      <c r="J604" s="18">
        <f>12650.29+589539.62</f>
        <v>602189.91</v>
      </c>
      <c r="K604" s="104">
        <f>SUM(H604:J604)</f>
        <v>1099047.19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301992.44</v>
      </c>
      <c r="I605" s="108">
        <f>SUM(I602:I604)</f>
        <v>194864.84</v>
      </c>
      <c r="J605" s="108">
        <f>SUM(J602:J604)</f>
        <v>602189.91</v>
      </c>
      <c r="K605" s="108">
        <f>SUM(K602:K604)</f>
        <v>1099047.19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f>33925+7440+750</f>
        <v>42115</v>
      </c>
      <c r="G611" s="18">
        <f>3225.04+2413.14+208.32</f>
        <v>5846.5</v>
      </c>
      <c r="H611" s="18">
        <f>8872.5</f>
        <v>8872.5</v>
      </c>
      <c r="I611" s="18">
        <f>513.88+458.34</f>
        <v>972.22</v>
      </c>
      <c r="J611" s="18"/>
      <c r="K611" s="18">
        <f>666</f>
        <v>666</v>
      </c>
      <c r="L611" s="88">
        <f>SUM(F611:K611)</f>
        <v>58472.22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f>7692.45</f>
        <v>7692.45</v>
      </c>
      <c r="G612" s="18">
        <f>588.49+1188.1+45.03</f>
        <v>1821.62</v>
      </c>
      <c r="H612" s="18"/>
      <c r="I612" s="18"/>
      <c r="J612" s="18"/>
      <c r="K612" s="18"/>
      <c r="L612" s="88">
        <f>SUM(F612:K612)</f>
        <v>9514.07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f>23272.9+1950+550</f>
        <v>25772.9</v>
      </c>
      <c r="G613" s="18">
        <f>1971.64+3662.71+74.68</f>
        <v>5709.0300000000007</v>
      </c>
      <c r="H613" s="18">
        <f>2000+600+250+845.22+108.17</f>
        <v>3803.3900000000003</v>
      </c>
      <c r="I613" s="18">
        <f>1786.43+273.74</f>
        <v>2060.17</v>
      </c>
      <c r="J613" s="18"/>
      <c r="K613" s="18"/>
      <c r="L613" s="88">
        <f>SUM(F613:K613)</f>
        <v>37345.49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50">SUM(F611:F613)</f>
        <v>75580.350000000006</v>
      </c>
      <c r="G614" s="108">
        <f t="shared" si="50"/>
        <v>13377.150000000001</v>
      </c>
      <c r="H614" s="108">
        <f t="shared" si="50"/>
        <v>12675.89</v>
      </c>
      <c r="I614" s="108">
        <f t="shared" si="50"/>
        <v>3032.3900000000003</v>
      </c>
      <c r="J614" s="108">
        <f t="shared" si="50"/>
        <v>0</v>
      </c>
      <c r="K614" s="108">
        <f t="shared" si="50"/>
        <v>666</v>
      </c>
      <c r="L614" s="89">
        <f t="shared" si="50"/>
        <v>105331.78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2281065.71</v>
      </c>
      <c r="H617" s="109">
        <f>SUM(F52)</f>
        <v>2281065.71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457781.61</v>
      </c>
      <c r="H618" s="109">
        <f>SUM(G52)</f>
        <v>457781.61000000004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698720.39</v>
      </c>
      <c r="H619" s="109">
        <f>SUM(H52)</f>
        <v>698720.39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590321.48</v>
      </c>
      <c r="H621" s="109">
        <f>SUM(J52)</f>
        <v>590321.48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1822751.5799999998</v>
      </c>
      <c r="H622" s="109">
        <f>F476</f>
        <v>1822751.5800000057</v>
      </c>
      <c r="I622" s="121" t="s">
        <v>101</v>
      </c>
      <c r="J622" s="109">
        <f t="shared" ref="J622:J655" si="51">G622-H622</f>
        <v>-5.8207660913467407E-9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426160.77</v>
      </c>
      <c r="H623" s="109">
        <f>G476</f>
        <v>426160.77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222207.74000000002</v>
      </c>
      <c r="H624" s="109">
        <f>H476</f>
        <v>222207.74000000022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590321.48</v>
      </c>
      <c r="H626" s="109">
        <f>J476</f>
        <v>590321.4800000001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58984064.129999995</v>
      </c>
      <c r="H627" s="104">
        <f>SUM(F468)</f>
        <v>58984064.130000003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1538609.8399999999</v>
      </c>
      <c r="H628" s="104">
        <f>SUM(G468)</f>
        <v>1538609.84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2916651.62</v>
      </c>
      <c r="H629" s="104">
        <f>SUM(H468)</f>
        <v>2916651.62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52474.76</v>
      </c>
      <c r="H631" s="104">
        <f>SUM(J468)</f>
        <v>52474.759999999995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59321097.32</v>
      </c>
      <c r="H632" s="104">
        <f>SUM(F472)</f>
        <v>59321097.32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2925421.5100000002</v>
      </c>
      <c r="H633" s="104">
        <f>SUM(H472)</f>
        <v>2925421.51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708876.78</v>
      </c>
      <c r="H634" s="104">
        <f>I369</f>
        <v>708876.78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1405889.2399999998</v>
      </c>
      <c r="H635" s="104">
        <f>SUM(G472)</f>
        <v>1405889.24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272</v>
      </c>
      <c r="H636" s="104">
        <f>SUM(I472)</f>
        <v>272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52474.759999999995</v>
      </c>
      <c r="H637" s="164">
        <f>SUM(J468)</f>
        <v>52474.759999999995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590321.48</v>
      </c>
      <c r="H640" s="104">
        <f>SUM(G461)</f>
        <v>590321.48</v>
      </c>
      <c r="I640" s="140" t="s">
        <v>857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590321.48</v>
      </c>
      <c r="H642" s="104">
        <f>SUM(I461)</f>
        <v>590321.48</v>
      </c>
      <c r="I642" s="140" t="s">
        <v>859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2202.7600000000002</v>
      </c>
      <c r="H644" s="104">
        <f>H408</f>
        <v>2202.7599999999998</v>
      </c>
      <c r="I644" s="140" t="s">
        <v>480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50272</v>
      </c>
      <c r="H645" s="104">
        <f>G408</f>
        <v>50272</v>
      </c>
      <c r="I645" s="140" t="s">
        <v>481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52474.76</v>
      </c>
      <c r="H646" s="104">
        <f>L408</f>
        <v>52474.759999999995</v>
      </c>
      <c r="I646" s="140" t="s">
        <v>477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1903806.34</v>
      </c>
      <c r="H647" s="104">
        <f>L208+L226+L244</f>
        <v>1903806.3399999999</v>
      </c>
      <c r="I647" s="140" t="s">
        <v>396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1099047.19</v>
      </c>
      <c r="H648" s="104">
        <f>(J257+J338)-(J255+J336)</f>
        <v>1099047.19</v>
      </c>
      <c r="I648" s="140" t="s">
        <v>702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710052.02999999991</v>
      </c>
      <c r="H649" s="104">
        <f>H598</f>
        <v>710052.02999999991</v>
      </c>
      <c r="I649" s="140" t="s">
        <v>388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335974.92000000004</v>
      </c>
      <c r="H650" s="104">
        <f>I598</f>
        <v>335974.92000000004</v>
      </c>
      <c r="I650" s="140" t="s">
        <v>389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857779.3899999999</v>
      </c>
      <c r="H651" s="104">
        <f>J598</f>
        <v>857779.3899999999</v>
      </c>
      <c r="I651" s="140" t="s">
        <v>390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50000</v>
      </c>
      <c r="H655" s="104">
        <f>K266+K347</f>
        <v>50000</v>
      </c>
      <c r="I655" s="140" t="s">
        <v>400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22134920.91</v>
      </c>
      <c r="G660" s="19">
        <f>(L229+L309+L359)</f>
        <v>10618020.59</v>
      </c>
      <c r="H660" s="19">
        <f>(L247+L328+L360)</f>
        <v>24071519.48</v>
      </c>
      <c r="I660" s="19">
        <f>SUM(F660:H660)</f>
        <v>56824460.980000004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212748.36574137944</v>
      </c>
      <c r="G661" s="19">
        <f>(L359/IF(SUM(L358:L360)=0,1,SUM(L358:L360))*(SUM(G97:G110)))</f>
        <v>211580.89627734636</v>
      </c>
      <c r="H661" s="19">
        <f>(L360/IF(SUM(L358:L360)=0,1,SUM(L358:L360))*(SUM(G97:G110)))</f>
        <v>379028.76798127423</v>
      </c>
      <c r="I661" s="19">
        <f>SUM(F661:H661)</f>
        <v>803358.03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710357.02999999991</v>
      </c>
      <c r="G662" s="19">
        <f>(L226+L306)-(J226+J306)</f>
        <v>335974.92000000004</v>
      </c>
      <c r="H662" s="19">
        <f>(L244+L325)-(J244+J325)</f>
        <v>862303.57999999984</v>
      </c>
      <c r="I662" s="19">
        <f>SUM(F662:H662)</f>
        <v>1908635.5299999998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883008.90999999992</v>
      </c>
      <c r="G663" s="199">
        <f>SUM(G575:G587)+SUM(I602:I604)+L612</f>
        <v>828527.0199999999</v>
      </c>
      <c r="H663" s="199">
        <f>SUM(H575:H587)+SUM(J602:J604)+L613</f>
        <v>2515561.0699999998</v>
      </c>
      <c r="I663" s="19">
        <f>SUM(F663:H663)</f>
        <v>4227097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20328806.604258619</v>
      </c>
      <c r="G664" s="19">
        <f>G660-SUM(G661:G663)</f>
        <v>9241937.7537226528</v>
      </c>
      <c r="H664" s="19">
        <f>H660-SUM(H661:H663)</f>
        <v>20314626.062018726</v>
      </c>
      <c r="I664" s="19">
        <f>I660-SUM(I661:I663)</f>
        <v>49885370.420000002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1189.33</v>
      </c>
      <c r="G665" s="248">
        <v>671.42</v>
      </c>
      <c r="H665" s="248">
        <v>1356.98</v>
      </c>
      <c r="I665" s="19">
        <f>SUM(F665:H665)</f>
        <v>3217.73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17092.650000000001</v>
      </c>
      <c r="G667" s="19">
        <f>ROUND(G664/G665,2)</f>
        <v>13764.76</v>
      </c>
      <c r="H667" s="19">
        <f>ROUND(H664/H665,2)</f>
        <v>14970.47</v>
      </c>
      <c r="I667" s="19">
        <f>ROUND(I664/I665,2)</f>
        <v>15503.28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18.170000000000002</v>
      </c>
      <c r="I670" s="19">
        <f>SUM(F670:H670)</f>
        <v>18.170000000000002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17092.650000000001</v>
      </c>
      <c r="G672" s="19">
        <f>ROUND((G664+G669)/(G665+G670),2)</f>
        <v>13764.76</v>
      </c>
      <c r="H672" s="19">
        <f>ROUND((H664+H669)/(H665+H670),2)</f>
        <v>14772.66</v>
      </c>
      <c r="I672" s="19">
        <f>ROUND((I664+I669)/(I665+I670),2)</f>
        <v>15416.23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37" sqref="B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KEENE</v>
      </c>
      <c r="C1" s="238" t="s">
        <v>838</v>
      </c>
    </row>
    <row r="2" spans="1:3" x14ac:dyDescent="0.2">
      <c r="A2" s="233"/>
      <c r="B2" s="232"/>
    </row>
    <row r="3" spans="1:3" x14ac:dyDescent="0.2">
      <c r="A3" s="280" t="s">
        <v>783</v>
      </c>
      <c r="B3" s="280"/>
      <c r="C3" s="280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9" t="s">
        <v>782</v>
      </c>
      <c r="C6" s="279"/>
    </row>
    <row r="7" spans="1:3" x14ac:dyDescent="0.2">
      <c r="A7" s="239" t="s">
        <v>785</v>
      </c>
      <c r="B7" s="277" t="s">
        <v>781</v>
      </c>
      <c r="C7" s="278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13662587.439999999</v>
      </c>
      <c r="C9" s="229">
        <f>'DOE25'!G197+'DOE25'!G215+'DOE25'!G233+'DOE25'!G276+'DOE25'!G295+'DOE25'!G314</f>
        <v>6040348.8899999997</v>
      </c>
    </row>
    <row r="10" spans="1:3" x14ac:dyDescent="0.2">
      <c r="A10" t="s">
        <v>778</v>
      </c>
      <c r="B10" s="240">
        <v>11772846.279999999</v>
      </c>
      <c r="C10" s="240">
        <v>5650986.1100000003</v>
      </c>
    </row>
    <row r="11" spans="1:3" x14ac:dyDescent="0.2">
      <c r="A11" t="s">
        <v>779</v>
      </c>
      <c r="B11" s="240">
        <v>606682.91</v>
      </c>
      <c r="C11" s="240">
        <v>291208.82</v>
      </c>
    </row>
    <row r="12" spans="1:3" x14ac:dyDescent="0.2">
      <c r="A12" t="s">
        <v>780</v>
      </c>
      <c r="B12" s="240">
        <v>1283058.25</v>
      </c>
      <c r="C12" s="240">
        <v>98153.96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13662587.439999999</v>
      </c>
      <c r="C13" s="231">
        <f>SUM(C10:C12)</f>
        <v>6040348.8900000006</v>
      </c>
    </row>
    <row r="14" spans="1:3" x14ac:dyDescent="0.2">
      <c r="B14" s="230"/>
      <c r="C14" s="230"/>
    </row>
    <row r="15" spans="1:3" x14ac:dyDescent="0.2">
      <c r="B15" s="279" t="s">
        <v>782</v>
      </c>
      <c r="C15" s="279"/>
    </row>
    <row r="16" spans="1:3" x14ac:dyDescent="0.2">
      <c r="A16" s="239" t="s">
        <v>786</v>
      </c>
      <c r="B16" s="277" t="s">
        <v>706</v>
      </c>
      <c r="C16" s="278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6030150.8099999996</v>
      </c>
      <c r="C18" s="229">
        <f>'DOE25'!G198+'DOE25'!G216+'DOE25'!G234+'DOE25'!G277+'DOE25'!G296+'DOE25'!G315</f>
        <v>2508630.2100000004</v>
      </c>
    </row>
    <row r="19" spans="1:3" x14ac:dyDescent="0.2">
      <c r="A19" t="s">
        <v>778</v>
      </c>
      <c r="B19" s="240">
        <v>3019642.35</v>
      </c>
      <c r="C19" s="240">
        <v>1706332.72</v>
      </c>
    </row>
    <row r="20" spans="1:3" x14ac:dyDescent="0.2">
      <c r="A20" t="s">
        <v>779</v>
      </c>
      <c r="B20" s="240">
        <v>1170731.95</v>
      </c>
      <c r="C20" s="240">
        <v>661554.57999999996</v>
      </c>
    </row>
    <row r="21" spans="1:3" x14ac:dyDescent="0.2">
      <c r="A21" t="s">
        <v>780</v>
      </c>
      <c r="B21" s="240">
        <v>1839776.51</v>
      </c>
      <c r="C21" s="240">
        <v>140742.91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6030150.8099999996</v>
      </c>
      <c r="C22" s="231">
        <f>SUM(C19:C21)</f>
        <v>2508630.21</v>
      </c>
    </row>
    <row r="23" spans="1:3" x14ac:dyDescent="0.2">
      <c r="B23" s="230"/>
      <c r="C23" s="230"/>
    </row>
    <row r="24" spans="1:3" x14ac:dyDescent="0.2">
      <c r="B24" s="279" t="s">
        <v>782</v>
      </c>
      <c r="C24" s="279"/>
    </row>
    <row r="25" spans="1:3" x14ac:dyDescent="0.2">
      <c r="A25" s="239" t="s">
        <v>787</v>
      </c>
      <c r="B25" s="277" t="s">
        <v>707</v>
      </c>
      <c r="C25" s="278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809790.8</v>
      </c>
      <c r="C27" s="234">
        <f>'DOE25'!G199+'DOE25'!G217+'DOE25'!G235+'DOE25'!G278+'DOE25'!G297+'DOE25'!G316</f>
        <v>360498.95999999996</v>
      </c>
    </row>
    <row r="28" spans="1:3" x14ac:dyDescent="0.2">
      <c r="A28" t="s">
        <v>778</v>
      </c>
      <c r="B28" s="240">
        <v>711605.83</v>
      </c>
      <c r="C28" s="240">
        <v>350686.04</v>
      </c>
    </row>
    <row r="29" spans="1:3" x14ac:dyDescent="0.2">
      <c r="A29" t="s">
        <v>779</v>
      </c>
      <c r="B29" s="240">
        <v>5529</v>
      </c>
      <c r="C29" s="240">
        <v>2724.74</v>
      </c>
    </row>
    <row r="30" spans="1:3" x14ac:dyDescent="0.2">
      <c r="A30" t="s">
        <v>780</v>
      </c>
      <c r="B30" s="240">
        <v>92655.97</v>
      </c>
      <c r="C30" s="240">
        <v>7088.18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809790.79999999993</v>
      </c>
      <c r="C31" s="231">
        <f>SUM(C28:C30)</f>
        <v>360498.95999999996</v>
      </c>
    </row>
    <row r="33" spans="1:3" x14ac:dyDescent="0.2">
      <c r="B33" s="279" t="s">
        <v>782</v>
      </c>
      <c r="C33" s="279"/>
    </row>
    <row r="34" spans="1:3" x14ac:dyDescent="0.2">
      <c r="A34" s="239" t="s">
        <v>788</v>
      </c>
      <c r="B34" s="277" t="s">
        <v>708</v>
      </c>
      <c r="C34" s="278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514575.80000000005</v>
      </c>
      <c r="C36" s="235">
        <f>'DOE25'!G200+'DOE25'!G218+'DOE25'!G236+'DOE25'!G279+'DOE25'!G298+'DOE25'!G317</f>
        <v>124988.58000000002</v>
      </c>
    </row>
    <row r="37" spans="1:3" x14ac:dyDescent="0.2">
      <c r="A37" t="s">
        <v>778</v>
      </c>
      <c r="B37" s="240">
        <v>352055.75</v>
      </c>
      <c r="C37" s="240">
        <v>85513.05</v>
      </c>
    </row>
    <row r="38" spans="1:3" x14ac:dyDescent="0.2">
      <c r="A38" t="s">
        <v>779</v>
      </c>
      <c r="B38" s="240">
        <v>9390</v>
      </c>
      <c r="C38" s="240">
        <v>2280.8000000000002</v>
      </c>
    </row>
    <row r="39" spans="1:3" x14ac:dyDescent="0.2">
      <c r="A39" t="s">
        <v>780</v>
      </c>
      <c r="B39" s="240">
        <v>153130.04999999999</v>
      </c>
      <c r="C39" s="240">
        <v>37194.730000000003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514575.8</v>
      </c>
      <c r="C40" s="231">
        <f>SUM(C37:C39)</f>
        <v>124988.58000000002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C9" sqref="C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9" t="s">
        <v>789</v>
      </c>
      <c r="B1" s="284"/>
      <c r="C1" s="284"/>
      <c r="D1" s="284"/>
      <c r="E1" s="284"/>
      <c r="F1" s="284"/>
      <c r="G1" s="284"/>
      <c r="H1" s="284"/>
      <c r="I1" s="181"/>
    </row>
    <row r="2" spans="1:9" x14ac:dyDescent="0.2">
      <c r="A2" s="33" t="s">
        <v>716</v>
      </c>
      <c r="B2" s="265" t="str">
        <f>'DOE25'!A2</f>
        <v>KEENE</v>
      </c>
      <c r="C2" s="181"/>
      <c r="D2" s="181" t="s">
        <v>791</v>
      </c>
      <c r="E2" s="181" t="s">
        <v>793</v>
      </c>
      <c r="F2" s="281" t="s">
        <v>820</v>
      </c>
      <c r="G2" s="282"/>
      <c r="H2" s="283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33213317.140000001</v>
      </c>
      <c r="D5" s="20">
        <f>SUM('DOE25'!L197:L200)+SUM('DOE25'!L215:L218)+SUM('DOE25'!L233:L236)-F5-G5</f>
        <v>33059457.5</v>
      </c>
      <c r="E5" s="243"/>
      <c r="F5" s="255">
        <f>SUM('DOE25'!J197:J200)+SUM('DOE25'!J215:J218)+SUM('DOE25'!J233:J236)</f>
        <v>121967.56999999999</v>
      </c>
      <c r="G5" s="53">
        <f>SUM('DOE25'!K197:K200)+SUM('DOE25'!K215:K218)+SUM('DOE25'!K233:K236)</f>
        <v>31892.07</v>
      </c>
      <c r="H5" s="259"/>
    </row>
    <row r="6" spans="1:9" x14ac:dyDescent="0.2">
      <c r="A6" s="32">
        <v>2100</v>
      </c>
      <c r="B6" t="s">
        <v>800</v>
      </c>
      <c r="C6" s="245">
        <f t="shared" si="0"/>
        <v>5154050.1900000004</v>
      </c>
      <c r="D6" s="20">
        <f>'DOE25'!L202+'DOE25'!L220+'DOE25'!L238-F6-G6</f>
        <v>5152538.33</v>
      </c>
      <c r="E6" s="243"/>
      <c r="F6" s="255">
        <f>'DOE25'!J202+'DOE25'!J220+'DOE25'!J238</f>
        <v>482.86</v>
      </c>
      <c r="G6" s="53">
        <f>'DOE25'!K202+'DOE25'!K220+'DOE25'!K238</f>
        <v>1029</v>
      </c>
      <c r="H6" s="259"/>
    </row>
    <row r="7" spans="1:9" x14ac:dyDescent="0.2">
      <c r="A7" s="32">
        <v>2200</v>
      </c>
      <c r="B7" t="s">
        <v>833</v>
      </c>
      <c r="C7" s="245">
        <f t="shared" si="0"/>
        <v>1250980.6200000001</v>
      </c>
      <c r="D7" s="20">
        <f>'DOE25'!L203+'DOE25'!L221+'DOE25'!L239-F7-G7</f>
        <v>1224115.6000000001</v>
      </c>
      <c r="E7" s="243"/>
      <c r="F7" s="255">
        <f>'DOE25'!J203+'DOE25'!J221+'DOE25'!J239</f>
        <v>22032.02</v>
      </c>
      <c r="G7" s="53">
        <f>'DOE25'!K203+'DOE25'!K221+'DOE25'!K239</f>
        <v>4833</v>
      </c>
      <c r="H7" s="259"/>
    </row>
    <row r="8" spans="1:9" x14ac:dyDescent="0.2">
      <c r="A8" s="32">
        <v>2300</v>
      </c>
      <c r="B8" t="s">
        <v>801</v>
      </c>
      <c r="C8" s="245">
        <f t="shared" si="0"/>
        <v>2401788.5411999999</v>
      </c>
      <c r="D8" s="243"/>
      <c r="E8" s="20">
        <f>'DOE25'!L204+'DOE25'!L222+'DOE25'!L240-F8-G8-D9-D11</f>
        <v>2359449.0711999997</v>
      </c>
      <c r="F8" s="255">
        <f>'DOE25'!J204+'DOE25'!J222+'DOE25'!J240</f>
        <v>0</v>
      </c>
      <c r="G8" s="53">
        <f>'DOE25'!K204+'DOE25'!K222+'DOE25'!K240</f>
        <v>42339.469999999994</v>
      </c>
      <c r="H8" s="259"/>
    </row>
    <row r="9" spans="1:9" x14ac:dyDescent="0.2">
      <c r="A9" s="32">
        <v>2310</v>
      </c>
      <c r="B9" t="s">
        <v>817</v>
      </c>
      <c r="C9" s="245">
        <f t="shared" si="0"/>
        <v>207409.88879999999</v>
      </c>
      <c r="D9" s="244">
        <f>229309.8888-21900</f>
        <v>207409.88879999999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21900</v>
      </c>
      <c r="D10" s="243"/>
      <c r="E10" s="244">
        <v>21900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385292</v>
      </c>
      <c r="D11" s="244">
        <v>385292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2964675.2399999998</v>
      </c>
      <c r="D12" s="20">
        <f>'DOE25'!L205+'DOE25'!L223+'DOE25'!L241-F12-G12</f>
        <v>2914027.4999999995</v>
      </c>
      <c r="E12" s="243"/>
      <c r="F12" s="255">
        <f>'DOE25'!J205+'DOE25'!J223+'DOE25'!J241</f>
        <v>37611.870000000003</v>
      </c>
      <c r="G12" s="53">
        <f>'DOE25'!K205+'DOE25'!K223+'DOE25'!K241</f>
        <v>13035.869999999999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20640.449999999997</v>
      </c>
      <c r="D13" s="243"/>
      <c r="E13" s="20">
        <f>'DOE25'!L206+'DOE25'!L224+'DOE25'!L242-F13-G13</f>
        <v>19991.999999999996</v>
      </c>
      <c r="F13" s="255">
        <f>'DOE25'!J206+'DOE25'!J224+'DOE25'!J242</f>
        <v>0</v>
      </c>
      <c r="G13" s="53">
        <f>'DOE25'!K206+'DOE25'!K224+'DOE25'!K242</f>
        <v>648.45000000000005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4360095.0599999987</v>
      </c>
      <c r="D14" s="20">
        <f>'DOE25'!L207+'DOE25'!L225+'DOE25'!L243-F14-G14</f>
        <v>4290226.129999999</v>
      </c>
      <c r="E14" s="243"/>
      <c r="F14" s="255">
        <f>'DOE25'!J207+'DOE25'!J225+'DOE25'!J243</f>
        <v>60536.160000000003</v>
      </c>
      <c r="G14" s="53">
        <f>'DOE25'!K207+'DOE25'!K225+'DOE25'!K243</f>
        <v>9332.77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1903806.3399999999</v>
      </c>
      <c r="D15" s="20">
        <f>'DOE25'!L208+'DOE25'!L226+'DOE25'!L244-F15-G15</f>
        <v>1903596.3399999999</v>
      </c>
      <c r="E15" s="243"/>
      <c r="F15" s="255">
        <f>'DOE25'!J208+'DOE25'!J226+'DOE25'!J244</f>
        <v>0</v>
      </c>
      <c r="G15" s="53">
        <f>'DOE25'!K208+'DOE25'!K226+'DOE25'!K244</f>
        <v>210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1113337.7799999998</v>
      </c>
      <c r="D16" s="243"/>
      <c r="E16" s="20">
        <f>'DOE25'!L209+'DOE25'!L227+'DOE25'!L245-F16-G16</f>
        <v>391550.61999999976</v>
      </c>
      <c r="F16" s="255">
        <f>'DOE25'!J209+'DOE25'!J227+'DOE25'!J245</f>
        <v>721787.16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2782445.3200000003</v>
      </c>
      <c r="D22" s="243"/>
      <c r="E22" s="243"/>
      <c r="F22" s="255">
        <f>'DOE25'!L255+'DOE25'!L336</f>
        <v>2782445.3200000003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3523448.75</v>
      </c>
      <c r="D25" s="243"/>
      <c r="E25" s="243"/>
      <c r="F25" s="258"/>
      <c r="G25" s="256"/>
      <c r="H25" s="257">
        <f>'DOE25'!L260+'DOE25'!L261+'DOE25'!L341+'DOE25'!L342</f>
        <v>3523448.75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731016.57999999973</v>
      </c>
      <c r="D29" s="20">
        <f>'DOE25'!L358+'DOE25'!L359+'DOE25'!L360-'DOE25'!I367-F29-G29</f>
        <v>730414.71999999974</v>
      </c>
      <c r="E29" s="243"/>
      <c r="F29" s="255">
        <f>'DOE25'!J358+'DOE25'!J359+'DOE25'!J360</f>
        <v>0</v>
      </c>
      <c r="G29" s="53">
        <f>'DOE25'!K358+'DOE25'!K359+'DOE25'!K360</f>
        <v>601.86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2913467.5100000002</v>
      </c>
      <c r="D31" s="20">
        <f>'DOE25'!L290+'DOE25'!L309+'DOE25'!L328+'DOE25'!L333+'DOE25'!L334+'DOE25'!L335-F31-G31</f>
        <v>2639931.2400000002</v>
      </c>
      <c r="E31" s="243"/>
      <c r="F31" s="255">
        <f>'DOE25'!J290+'DOE25'!J309+'DOE25'!J328+'DOE25'!J333+'DOE25'!J334+'DOE25'!J335</f>
        <v>134629.54999999999</v>
      </c>
      <c r="G31" s="53">
        <f>'DOE25'!K290+'DOE25'!K309+'DOE25'!K328+'DOE25'!K333+'DOE25'!K334+'DOE25'!K335</f>
        <v>138906.72000000003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52507009.248800002</v>
      </c>
      <c r="E33" s="246">
        <f>SUM(E5:E31)</f>
        <v>2792891.6911999993</v>
      </c>
      <c r="F33" s="246">
        <f>SUM(F5:F31)</f>
        <v>3881492.5100000002</v>
      </c>
      <c r="G33" s="246">
        <f>SUM(G5:G31)</f>
        <v>242829.21000000002</v>
      </c>
      <c r="H33" s="246">
        <f>SUM(H5:H31)</f>
        <v>3523448.75</v>
      </c>
    </row>
    <row r="35" spans="2:8" ht="12" thickBot="1" x14ac:dyDescent="0.25">
      <c r="B35" s="253" t="s">
        <v>846</v>
      </c>
      <c r="D35" s="254">
        <f>E33</f>
        <v>2792891.6911999993</v>
      </c>
      <c r="E35" s="249"/>
    </row>
    <row r="36" spans="2:8" ht="12" thickTop="1" x14ac:dyDescent="0.2">
      <c r="B36" t="s">
        <v>814</v>
      </c>
      <c r="D36" s="20">
        <f>D33</f>
        <v>52507009.248800002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KEENE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1419474.47</v>
      </c>
      <c r="D8" s="95">
        <f>'DOE25'!G9</f>
        <v>388230.11</v>
      </c>
      <c r="E8" s="95">
        <f>'DOE25'!H9</f>
        <v>277422.73</v>
      </c>
      <c r="F8" s="95">
        <f>'DOE25'!I9</f>
        <v>0</v>
      </c>
      <c r="G8" s="95">
        <f>'DOE25'!J9</f>
        <v>590321.48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323901.95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501076.95</v>
      </c>
      <c r="D12" s="95">
        <f>'DOE25'!G13</f>
        <v>65181.35</v>
      </c>
      <c r="E12" s="95">
        <f>'DOE25'!H13</f>
        <v>402592.66000000003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21746.04</v>
      </c>
      <c r="D13" s="95">
        <f>'DOE25'!G14</f>
        <v>4370.1499999999996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14866.3</v>
      </c>
      <c r="D16" s="95">
        <f>'DOE25'!G17</f>
        <v>0</v>
      </c>
      <c r="E16" s="95">
        <f>'DOE25'!H17</f>
        <v>18705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2281065.71</v>
      </c>
      <c r="D18" s="41">
        <f>SUM(D8:D17)</f>
        <v>457781.61</v>
      </c>
      <c r="E18" s="41">
        <f>SUM(E8:E17)</f>
        <v>698720.39</v>
      </c>
      <c r="F18" s="41">
        <f>SUM(F8:F17)</f>
        <v>0</v>
      </c>
      <c r="G18" s="41">
        <f>SUM(G8:G17)</f>
        <v>590321.48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323901.95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34321.550000000003</v>
      </c>
      <c r="D22" s="95">
        <f>'DOE25'!G23</f>
        <v>0</v>
      </c>
      <c r="E22" s="95">
        <f>'DOE25'!H23</f>
        <v>27610.44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239653.38</v>
      </c>
      <c r="D23" s="95">
        <f>'DOE25'!G24</f>
        <v>18.149999999999999</v>
      </c>
      <c r="E23" s="95">
        <f>'DOE25'!H24</f>
        <v>20724.55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184339.20000000001</v>
      </c>
      <c r="D27" s="95">
        <f>'DOE25'!G28</f>
        <v>3468.83</v>
      </c>
      <c r="E27" s="95">
        <f>'DOE25'!H28</f>
        <v>30021.710000000003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28133.86</v>
      </c>
      <c r="E29" s="95">
        <f>'DOE25'!H30</f>
        <v>74254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458314.13</v>
      </c>
      <c r="D31" s="41">
        <f>SUM(D21:D30)</f>
        <v>31620.84</v>
      </c>
      <c r="E31" s="41">
        <f>SUM(E21:E30)</f>
        <v>476512.65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14866.3</v>
      </c>
      <c r="D35" s="95">
        <f>'DOE25'!G36</f>
        <v>0</v>
      </c>
      <c r="E35" s="95">
        <f>'DOE25'!H36</f>
        <v>18705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426160.77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175686.87000000002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100001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158242.62</v>
      </c>
      <c r="D44" s="95">
        <f>'DOE25'!G45</f>
        <v>0</v>
      </c>
      <c r="E44" s="95">
        <f>'DOE25'!H45</f>
        <v>10383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17432.87</v>
      </c>
      <c r="F47" s="95">
        <f>'DOE25'!I48</f>
        <v>0</v>
      </c>
      <c r="G47" s="95">
        <f>'DOE25'!J48</f>
        <v>590321.48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1549641.66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1822751.5799999998</v>
      </c>
      <c r="D50" s="41">
        <f>SUM(D34:D49)</f>
        <v>426160.77</v>
      </c>
      <c r="E50" s="41">
        <f>SUM(E34:E49)</f>
        <v>222207.74000000002</v>
      </c>
      <c r="F50" s="41">
        <f>SUM(F34:F49)</f>
        <v>0</v>
      </c>
      <c r="G50" s="41">
        <f>SUM(G34:G49)</f>
        <v>590321.48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2281065.71</v>
      </c>
      <c r="D51" s="41">
        <f>D50+D31</f>
        <v>457781.61000000004</v>
      </c>
      <c r="E51" s="41">
        <f>E50+E31</f>
        <v>698720.39</v>
      </c>
      <c r="F51" s="41">
        <f>F50+F31</f>
        <v>0</v>
      </c>
      <c r="G51" s="41">
        <f>G50+G31</f>
        <v>590321.48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29254779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11431751.939999999</v>
      </c>
      <c r="D57" s="24" t="s">
        <v>288</v>
      </c>
      <c r="E57" s="95">
        <f>'DOE25'!H79</f>
        <v>466223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8648.1200000000008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2202.7600000000002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781533.02999999991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618157.28</v>
      </c>
      <c r="D61" s="95">
        <f>SUM('DOE25'!G98:G110)</f>
        <v>21825</v>
      </c>
      <c r="E61" s="95">
        <f>SUM('DOE25'!H98:H110)</f>
        <v>167508.35999999999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12058557.339999998</v>
      </c>
      <c r="D62" s="130">
        <f>SUM(D57:D61)</f>
        <v>803358.02999999991</v>
      </c>
      <c r="E62" s="130">
        <f>SUM(E57:E61)</f>
        <v>633731.36</v>
      </c>
      <c r="F62" s="130">
        <f>SUM(F57:F61)</f>
        <v>0</v>
      </c>
      <c r="G62" s="130">
        <f>SUM(G57:G61)</f>
        <v>2202.7600000000002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41313336.339999996</v>
      </c>
      <c r="D63" s="22">
        <f>D56+D62</f>
        <v>803358.02999999991</v>
      </c>
      <c r="E63" s="22">
        <f>E56+E62</f>
        <v>633731.36</v>
      </c>
      <c r="F63" s="22">
        <f>F56+F62</f>
        <v>0</v>
      </c>
      <c r="G63" s="22">
        <f>G56+G62</f>
        <v>2202.7600000000002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10342976.939999999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4167984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1685.96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14512646.9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1589988.04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789270.28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239154.6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13453.05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2618412.9200000004</v>
      </c>
      <c r="D78" s="130">
        <f>SUM(D72:D77)</f>
        <v>13453.05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17131059.82</v>
      </c>
      <c r="D81" s="130">
        <f>SUM(D79:D80)+D78+D70</f>
        <v>13453.05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539667.97</v>
      </c>
      <c r="D88" s="95">
        <f>SUM('DOE25'!G153:G161)</f>
        <v>721798.76</v>
      </c>
      <c r="E88" s="95">
        <f>SUM('DOE25'!H153:H161)</f>
        <v>2282920.2600000002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539667.97</v>
      </c>
      <c r="D91" s="131">
        <f>SUM(D85:D90)</f>
        <v>721798.76</v>
      </c>
      <c r="E91" s="131">
        <f>SUM(E85:E90)</f>
        <v>2282920.2600000002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272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50272</v>
      </c>
    </row>
    <row r="104" spans="1:7" ht="12.75" thickTop="1" thickBot="1" x14ac:dyDescent="0.25">
      <c r="A104" s="33" t="s">
        <v>764</v>
      </c>
      <c r="C104" s="86">
        <f>C63+C81+C91+C103</f>
        <v>58984064.129999995</v>
      </c>
      <c r="D104" s="86">
        <f>D63+D81+D91+D103</f>
        <v>1538609.8399999999</v>
      </c>
      <c r="E104" s="86">
        <f>E63+E81+E91+E103</f>
        <v>2916651.62</v>
      </c>
      <c r="F104" s="86">
        <f>F63+F81+F91+F103</f>
        <v>0</v>
      </c>
      <c r="G104" s="86">
        <f>G63+G81+G103</f>
        <v>52474.76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19732996.870000001</v>
      </c>
      <c r="D109" s="24" t="s">
        <v>288</v>
      </c>
      <c r="E109" s="95">
        <f>('DOE25'!L276)+('DOE25'!L295)+('DOE25'!L314)</f>
        <v>828256.2300000001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11450116.01</v>
      </c>
      <c r="D110" s="24" t="s">
        <v>288</v>
      </c>
      <c r="E110" s="95">
        <f>('DOE25'!L277)+('DOE25'!L296)+('DOE25'!L315)</f>
        <v>288395.11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1241378.7200000002</v>
      </c>
      <c r="D111" s="24" t="s">
        <v>288</v>
      </c>
      <c r="E111" s="95">
        <f>('DOE25'!L278)+('DOE25'!L297)+('DOE25'!L316)</f>
        <v>59605.64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788825.54</v>
      </c>
      <c r="D112" s="24" t="s">
        <v>288</v>
      </c>
      <c r="E112" s="95">
        <f>+('DOE25'!L279)+('DOE25'!L298)+('DOE25'!L317)</f>
        <v>78956.59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1764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470289.02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33213317.140000001</v>
      </c>
      <c r="D115" s="86">
        <f>SUM(D109:D114)</f>
        <v>0</v>
      </c>
      <c r="E115" s="86">
        <f>SUM(E109:E114)</f>
        <v>1727266.59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5154050.1900000004</v>
      </c>
      <c r="D118" s="24" t="s">
        <v>288</v>
      </c>
      <c r="E118" s="95">
        <f>+('DOE25'!L281)+('DOE25'!L300)+('DOE25'!L319)</f>
        <v>358271.8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1250980.6200000001</v>
      </c>
      <c r="D119" s="24" t="s">
        <v>288</v>
      </c>
      <c r="E119" s="95">
        <f>+('DOE25'!L282)+('DOE25'!L301)+('DOE25'!L320)</f>
        <v>532589.07000000007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2994490.4299999997</v>
      </c>
      <c r="D120" s="24" t="s">
        <v>288</v>
      </c>
      <c r="E120" s="95">
        <f>+('DOE25'!L283)+('DOE25'!L302)+('DOE25'!L321)</f>
        <v>123303.03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2964675.2399999998</v>
      </c>
      <c r="D121" s="24" t="s">
        <v>288</v>
      </c>
      <c r="E121" s="95">
        <f>+('DOE25'!L284)+('DOE25'!L303)+('DOE25'!L322)</f>
        <v>25328.460000000003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20640.449999999997</v>
      </c>
      <c r="D122" s="24" t="s">
        <v>288</v>
      </c>
      <c r="E122" s="95">
        <f>+('DOE25'!L285)+('DOE25'!L304)+('DOE25'!L323)</f>
        <v>89924.01999999999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4360095.0599999987</v>
      </c>
      <c r="D123" s="24" t="s">
        <v>288</v>
      </c>
      <c r="E123" s="95">
        <f>+('DOE25'!L286)+('DOE25'!L305)+('DOE25'!L324)</f>
        <v>51670.899999999994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1903806.3399999999</v>
      </c>
      <c r="D124" s="24" t="s">
        <v>288</v>
      </c>
      <c r="E124" s="95">
        <f>+('DOE25'!L287)+('DOE25'!L306)+('DOE25'!L325)</f>
        <v>4829.1899999999996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1113337.7799999998</v>
      </c>
      <c r="D125" s="24" t="s">
        <v>288</v>
      </c>
      <c r="E125" s="95">
        <f>+('DOE25'!L288)+('DOE25'!L307)+('DOE25'!L326)</f>
        <v>2048.4499999999998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1405889.2399999998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19762076.109999999</v>
      </c>
      <c r="D128" s="86">
        <f>SUM(D118:D127)</f>
        <v>1405889.2399999998</v>
      </c>
      <c r="E128" s="86">
        <f>SUM(E118:E127)</f>
        <v>1187964.92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2772255.3200000003</v>
      </c>
      <c r="D130" s="24" t="s">
        <v>288</v>
      </c>
      <c r="E130" s="129">
        <f>'DOE25'!L336</f>
        <v>10190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2755197.58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768251.17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272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52474.759999999995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-2474.7599999999948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6345704.0700000003</v>
      </c>
      <c r="D144" s="141">
        <f>SUM(D130:D143)</f>
        <v>0</v>
      </c>
      <c r="E144" s="141">
        <f>SUM(E130:E143)</f>
        <v>10190</v>
      </c>
      <c r="F144" s="141">
        <f>SUM(F130:F143)</f>
        <v>272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59321097.32</v>
      </c>
      <c r="D145" s="86">
        <f>(D115+D128+D144)</f>
        <v>1405889.2399999998</v>
      </c>
      <c r="E145" s="86">
        <f>(E115+E128+E144)</f>
        <v>2925421.51</v>
      </c>
      <c r="F145" s="86">
        <f>(F115+F128+F144)</f>
        <v>272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10</v>
      </c>
      <c r="D151" s="153">
        <f>'DOE25'!H490</f>
        <v>29</v>
      </c>
      <c r="E151" s="153">
        <f>'DOE25'!I490</f>
        <v>29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7/99</v>
      </c>
      <c r="C152" s="152" t="str">
        <f>'DOE25'!G491</f>
        <v>08/06</v>
      </c>
      <c r="D152" s="152" t="str">
        <f>'DOE25'!H491</f>
        <v>7/10</v>
      </c>
      <c r="E152" s="152" t="str">
        <f>'DOE25'!I491</f>
        <v>7/10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08/19</v>
      </c>
      <c r="C153" s="152" t="str">
        <f>'DOE25'!G492</f>
        <v>08/16</v>
      </c>
      <c r="D153" s="152" t="str">
        <f>'DOE25'!H492</f>
        <v>08/39</v>
      </c>
      <c r="E153" s="152" t="str">
        <f>'DOE25'!I492</f>
        <v>08/39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17500000</v>
      </c>
      <c r="C154" s="137">
        <f>'DOE25'!G493</f>
        <v>1225000</v>
      </c>
      <c r="D154" s="137">
        <f>'DOE25'!H493</f>
        <v>35115529.659999996</v>
      </c>
      <c r="E154" s="137">
        <f>'DOE25'!I493</f>
        <v>1817970.34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5.2</v>
      </c>
      <c r="C155" s="137">
        <f>'DOE25'!G494</f>
        <v>3.79</v>
      </c>
      <c r="D155" s="137">
        <f>'DOE25'!H494</f>
        <v>4.4400000000000004</v>
      </c>
      <c r="E155" s="137">
        <f>'DOE25'!I494</f>
        <v>4.4400000000000004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3500000</v>
      </c>
      <c r="C156" s="137">
        <f>'DOE25'!G495</f>
        <v>120000</v>
      </c>
      <c r="D156" s="137">
        <f>'DOE25'!H495</f>
        <v>24531193.640000001</v>
      </c>
      <c r="E156" s="137">
        <f>'DOE25'!I495</f>
        <v>1270007.3899999999</v>
      </c>
      <c r="F156" s="137">
        <f>'DOE25'!J495</f>
        <v>0</v>
      </c>
      <c r="G156" s="138">
        <f>SUM(B156:F156)</f>
        <v>29421201.030000001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875000</v>
      </c>
      <c r="C158" s="137">
        <f>'DOE25'!G497</f>
        <v>120000</v>
      </c>
      <c r="D158" s="137">
        <f>'DOE25'!H497</f>
        <v>1673555.7200000002</v>
      </c>
      <c r="E158" s="137">
        <f>'DOE25'!I497</f>
        <v>86641.86</v>
      </c>
      <c r="F158" s="137">
        <f>'DOE25'!J497</f>
        <v>0</v>
      </c>
      <c r="G158" s="138">
        <f t="shared" si="0"/>
        <v>2755197.58</v>
      </c>
    </row>
    <row r="159" spans="1:9" x14ac:dyDescent="0.2">
      <c r="A159" s="22" t="s">
        <v>35</v>
      </c>
      <c r="B159" s="137">
        <f>'DOE25'!F498</f>
        <v>2625000</v>
      </c>
      <c r="C159" s="137">
        <f>'DOE25'!G498</f>
        <v>0</v>
      </c>
      <c r="D159" s="137">
        <f>'DOE25'!H498</f>
        <v>22857637.920000002</v>
      </c>
      <c r="E159" s="137">
        <f>'DOE25'!I498</f>
        <v>1183365.5299999998</v>
      </c>
      <c r="F159" s="137">
        <f>'DOE25'!J498</f>
        <v>0</v>
      </c>
      <c r="G159" s="138">
        <f t="shared" si="0"/>
        <v>26666003.450000003</v>
      </c>
    </row>
    <row r="160" spans="1:9" x14ac:dyDescent="0.2">
      <c r="A160" s="22" t="s">
        <v>36</v>
      </c>
      <c r="B160" s="137">
        <f>'DOE25'!F499</f>
        <v>206718.75</v>
      </c>
      <c r="C160" s="137">
        <f>'DOE25'!G499</f>
        <v>0</v>
      </c>
      <c r="D160" s="137">
        <f>'DOE25'!H499</f>
        <v>28901098.050000001</v>
      </c>
      <c r="E160" s="137">
        <f>'DOE25'!I499</f>
        <v>1496242.25</v>
      </c>
      <c r="F160" s="137">
        <f>'DOE25'!J499</f>
        <v>0</v>
      </c>
      <c r="G160" s="138">
        <f t="shared" si="0"/>
        <v>30604059.050000001</v>
      </c>
    </row>
    <row r="161" spans="1:7" x14ac:dyDescent="0.2">
      <c r="A161" s="22" t="s">
        <v>37</v>
      </c>
      <c r="B161" s="137">
        <f>'DOE25'!F500</f>
        <v>2831718.75</v>
      </c>
      <c r="C161" s="137">
        <f>'DOE25'!G500</f>
        <v>0</v>
      </c>
      <c r="D161" s="137">
        <f>'DOE25'!H500</f>
        <v>51758735.969999999</v>
      </c>
      <c r="E161" s="137">
        <f>'DOE25'!I500</f>
        <v>2679607.7799999998</v>
      </c>
      <c r="F161" s="137">
        <f>'DOE25'!J500</f>
        <v>0</v>
      </c>
      <c r="G161" s="138">
        <f t="shared" si="0"/>
        <v>57270062.5</v>
      </c>
    </row>
    <row r="162" spans="1:7" x14ac:dyDescent="0.2">
      <c r="A162" s="22" t="s">
        <v>38</v>
      </c>
      <c r="B162" s="137">
        <f>'DOE25'!F501</f>
        <v>875000</v>
      </c>
      <c r="C162" s="137">
        <f>'DOE25'!G501</f>
        <v>0</v>
      </c>
      <c r="D162" s="137">
        <f>'DOE25'!H501</f>
        <v>1598611.47</v>
      </c>
      <c r="E162" s="137">
        <f>'DOE25'!I501</f>
        <v>82761.91</v>
      </c>
      <c r="F162" s="137">
        <f>'DOE25'!J501</f>
        <v>0</v>
      </c>
      <c r="G162" s="138">
        <f t="shared" si="0"/>
        <v>2556373.38</v>
      </c>
    </row>
    <row r="163" spans="1:7" x14ac:dyDescent="0.2">
      <c r="A163" s="22" t="s">
        <v>39</v>
      </c>
      <c r="B163" s="137">
        <f>'DOE25'!F502</f>
        <v>114843.745</v>
      </c>
      <c r="C163" s="137">
        <f>'DOE25'!G502</f>
        <v>0</v>
      </c>
      <c r="D163" s="137">
        <f>'DOE25'!H502</f>
        <v>653506.36</v>
      </c>
      <c r="E163" s="137">
        <f>'DOE25'!I502</f>
        <v>33832.76</v>
      </c>
      <c r="F163" s="137">
        <f>'DOE25'!J502</f>
        <v>0</v>
      </c>
      <c r="G163" s="138">
        <f t="shared" si="0"/>
        <v>802182.86499999999</v>
      </c>
    </row>
    <row r="164" spans="1:7" x14ac:dyDescent="0.2">
      <c r="A164" s="22" t="s">
        <v>246</v>
      </c>
      <c r="B164" s="137">
        <f>'DOE25'!F503</f>
        <v>989843.745</v>
      </c>
      <c r="C164" s="137">
        <f>'DOE25'!G503</f>
        <v>0</v>
      </c>
      <c r="D164" s="137">
        <f>'DOE25'!H503</f>
        <v>2252117.83</v>
      </c>
      <c r="E164" s="137">
        <f>'DOE25'!I503</f>
        <v>116594.67000000001</v>
      </c>
      <c r="F164" s="137">
        <f>'DOE25'!J503</f>
        <v>0</v>
      </c>
      <c r="G164" s="138">
        <f t="shared" si="0"/>
        <v>3358556.2450000001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5" t="s">
        <v>739</v>
      </c>
      <c r="B1" s="285"/>
      <c r="C1" s="285"/>
      <c r="D1" s="285"/>
    </row>
    <row r="2" spans="1:4" x14ac:dyDescent="0.2">
      <c r="A2" s="187" t="s">
        <v>716</v>
      </c>
      <c r="B2" s="186" t="str">
        <f>'DOE25'!A2</f>
        <v>KEENE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17093</v>
      </c>
    </row>
    <row r="5" spans="1:4" x14ac:dyDescent="0.2">
      <c r="B5" t="s">
        <v>703</v>
      </c>
      <c r="C5" s="179">
        <f>IF('DOE25'!G665+'DOE25'!G670=0,0,ROUND('DOE25'!G672,0))</f>
        <v>13765</v>
      </c>
    </row>
    <row r="6" spans="1:4" x14ac:dyDescent="0.2">
      <c r="B6" t="s">
        <v>62</v>
      </c>
      <c r="C6" s="179">
        <f>IF('DOE25'!H665+'DOE25'!H670=0,0,ROUND('DOE25'!H672,0))</f>
        <v>14773</v>
      </c>
    </row>
    <row r="7" spans="1:4" x14ac:dyDescent="0.2">
      <c r="B7" t="s">
        <v>704</v>
      </c>
      <c r="C7" s="179">
        <f>IF('DOE25'!I665+'DOE25'!I670=0,0,ROUND('DOE25'!I672,0))</f>
        <v>15416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20561253</v>
      </c>
      <c r="D10" s="182">
        <f>ROUND((C10/$C$28)*100,1)</f>
        <v>35.9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11738511</v>
      </c>
      <c r="D11" s="182">
        <f>ROUND((C11/$C$28)*100,1)</f>
        <v>20.5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1300984</v>
      </c>
      <c r="D12" s="182">
        <f>ROUND((C12/$C$28)*100,1)</f>
        <v>2.2999999999999998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867782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5512322</v>
      </c>
      <c r="D15" s="182">
        <f t="shared" ref="D15:D27" si="0">ROUND((C15/$C$28)*100,1)</f>
        <v>9.6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1783570</v>
      </c>
      <c r="D16" s="182">
        <f t="shared" si="0"/>
        <v>3.1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4233180</v>
      </c>
      <c r="D17" s="182">
        <f t="shared" si="0"/>
        <v>7.4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2990004</v>
      </c>
      <c r="D18" s="182">
        <f t="shared" si="0"/>
        <v>5.2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110564</v>
      </c>
      <c r="D19" s="182">
        <f t="shared" si="0"/>
        <v>0.2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4411766</v>
      </c>
      <c r="D20" s="182">
        <f t="shared" si="0"/>
        <v>7.7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1908636</v>
      </c>
      <c r="D21" s="182">
        <f t="shared" si="0"/>
        <v>3.3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1764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470289</v>
      </c>
      <c r="D24" s="182">
        <f t="shared" si="0"/>
        <v>0.8</v>
      </c>
    </row>
    <row r="25" spans="1:4" x14ac:dyDescent="0.2">
      <c r="A25">
        <v>5120</v>
      </c>
      <c r="B25" t="s">
        <v>719</v>
      </c>
      <c r="C25" s="179">
        <f>ROUND('DOE25'!L261+'DOE25'!L342,0)</f>
        <v>768251</v>
      </c>
      <c r="D25" s="182">
        <f t="shared" si="0"/>
        <v>1.3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602530.97000000009</v>
      </c>
      <c r="D27" s="182">
        <f t="shared" si="0"/>
        <v>1.1000000000000001</v>
      </c>
    </row>
    <row r="28" spans="1:4" x14ac:dyDescent="0.2">
      <c r="B28" s="187" t="s">
        <v>722</v>
      </c>
      <c r="C28" s="180">
        <f>SUM(C10:C27)</f>
        <v>57261406.969999999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2782445</v>
      </c>
    </row>
    <row r="30" spans="1:4" x14ac:dyDescent="0.2">
      <c r="B30" s="187" t="s">
        <v>728</v>
      </c>
      <c r="C30" s="180">
        <f>SUM(C28:C29)</f>
        <v>60043851.969999999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2755198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29254779</v>
      </c>
      <c r="D35" s="182">
        <f t="shared" ref="D35:D40" si="1">ROUND((C35/$C$41)*100,1)</f>
        <v>46.7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12694491.459999993</v>
      </c>
      <c r="D36" s="182">
        <f t="shared" si="1"/>
        <v>20.3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14510961</v>
      </c>
      <c r="D37" s="182">
        <f t="shared" si="1"/>
        <v>23.2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2633552</v>
      </c>
      <c r="D38" s="182">
        <f t="shared" si="1"/>
        <v>4.2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3544387</v>
      </c>
      <c r="D39" s="182">
        <f t="shared" si="1"/>
        <v>5.7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62638170.459999993</v>
      </c>
      <c r="D41" s="184">
        <f>SUM(D35:D40)</f>
        <v>100.10000000000001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769</v>
      </c>
      <c r="B1" s="291"/>
      <c r="C1" s="291"/>
      <c r="D1" s="291"/>
      <c r="E1" s="291"/>
      <c r="F1" s="291"/>
      <c r="G1" s="291"/>
      <c r="H1" s="291"/>
      <c r="I1" s="291"/>
      <c r="J1" s="213"/>
      <c r="K1" s="213"/>
      <c r="L1" s="213"/>
      <c r="M1" s="214"/>
    </row>
    <row r="2" spans="1:26" ht="12.75" x14ac:dyDescent="0.2">
      <c r="A2" s="296" t="s">
        <v>766</v>
      </c>
      <c r="B2" s="297"/>
      <c r="C2" s="297"/>
      <c r="D2" s="297"/>
      <c r="E2" s="297"/>
      <c r="F2" s="294" t="str">
        <f>'DOE25'!A2</f>
        <v>KEENE</v>
      </c>
      <c r="G2" s="295"/>
      <c r="H2" s="295"/>
      <c r="I2" s="295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2" t="s">
        <v>770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8"/>
      <c r="B4" s="219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9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9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9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9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9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9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9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9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9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9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9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9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9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9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8"/>
      <c r="D18" s="288"/>
      <c r="E18" s="288"/>
      <c r="F18" s="288"/>
      <c r="G18" s="288"/>
      <c r="H18" s="288"/>
      <c r="I18" s="288"/>
      <c r="J18" s="288"/>
      <c r="K18" s="288"/>
      <c r="L18" s="288"/>
      <c r="M18" s="289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9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9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9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9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9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9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9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9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9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9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9"/>
      <c r="N29" s="211"/>
      <c r="O29" s="211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07"/>
      <c r="AB29" s="207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7"/>
      <c r="AO29" s="207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7"/>
      <c r="BB29" s="207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7"/>
      <c r="BO29" s="207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7"/>
      <c r="CB29" s="207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7"/>
      <c r="CO29" s="207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7"/>
      <c r="DB29" s="207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7"/>
      <c r="DO29" s="207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7"/>
      <c r="EB29" s="207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7"/>
      <c r="EO29" s="207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7"/>
      <c r="FB29" s="207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7"/>
      <c r="FO29" s="207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7"/>
      <c r="GB29" s="207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7"/>
      <c r="GO29" s="207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7"/>
      <c r="HB29" s="207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7"/>
      <c r="HO29" s="207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7"/>
      <c r="IB29" s="207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7"/>
      <c r="IO29" s="207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8"/>
      <c r="B30" s="219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9"/>
      <c r="N30" s="211"/>
      <c r="O30" s="211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07"/>
      <c r="AB30" s="207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7"/>
      <c r="AO30" s="207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7"/>
      <c r="BB30" s="207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7"/>
      <c r="BO30" s="207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7"/>
      <c r="CB30" s="207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7"/>
      <c r="CO30" s="207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7"/>
      <c r="DB30" s="207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7"/>
      <c r="DO30" s="207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7"/>
      <c r="EB30" s="207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7"/>
      <c r="EO30" s="207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7"/>
      <c r="FB30" s="207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7"/>
      <c r="FO30" s="207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7"/>
      <c r="GB30" s="207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7"/>
      <c r="GO30" s="207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7"/>
      <c r="HB30" s="207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7"/>
      <c r="HO30" s="207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7"/>
      <c r="IB30" s="207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7"/>
      <c r="IO30" s="207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8"/>
      <c r="B31" s="219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9"/>
      <c r="N31" s="211"/>
      <c r="O31" s="211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07"/>
      <c r="AB31" s="207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7"/>
      <c r="AO31" s="207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7"/>
      <c r="BB31" s="207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7"/>
      <c r="BO31" s="207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7"/>
      <c r="CB31" s="207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7"/>
      <c r="CO31" s="207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7"/>
      <c r="DB31" s="207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7"/>
      <c r="DO31" s="207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7"/>
      <c r="EB31" s="207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7"/>
      <c r="EO31" s="207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7"/>
      <c r="FB31" s="207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7"/>
      <c r="FO31" s="207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7"/>
      <c r="GB31" s="207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7"/>
      <c r="GO31" s="207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7"/>
      <c r="HB31" s="207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7"/>
      <c r="HO31" s="207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7"/>
      <c r="IB31" s="207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7"/>
      <c r="IO31" s="207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8"/>
      <c r="B32" s="219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9"/>
      <c r="N32" s="223"/>
      <c r="O32" s="223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9"/>
      <c r="AA32" s="218"/>
      <c r="AB32" s="219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9"/>
      <c r="AN32" s="218"/>
      <c r="AO32" s="219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9"/>
      <c r="BA32" s="218"/>
      <c r="BB32" s="219"/>
      <c r="BC32" s="288"/>
      <c r="BD32" s="288"/>
      <c r="BE32" s="288"/>
      <c r="BF32" s="288"/>
      <c r="BG32" s="288"/>
      <c r="BH32" s="288"/>
      <c r="BI32" s="288"/>
      <c r="BJ32" s="288"/>
      <c r="BK32" s="288"/>
      <c r="BL32" s="288"/>
      <c r="BM32" s="289"/>
      <c r="BN32" s="218"/>
      <c r="BO32" s="219"/>
      <c r="BP32" s="288"/>
      <c r="BQ32" s="288"/>
      <c r="BR32" s="288"/>
      <c r="BS32" s="288"/>
      <c r="BT32" s="288"/>
      <c r="BU32" s="288"/>
      <c r="BV32" s="288"/>
      <c r="BW32" s="288"/>
      <c r="BX32" s="288"/>
      <c r="BY32" s="288"/>
      <c r="BZ32" s="289"/>
      <c r="CA32" s="218"/>
      <c r="CB32" s="219"/>
      <c r="CC32" s="288"/>
      <c r="CD32" s="288"/>
      <c r="CE32" s="288"/>
      <c r="CF32" s="288"/>
      <c r="CG32" s="288"/>
      <c r="CH32" s="288"/>
      <c r="CI32" s="288"/>
      <c r="CJ32" s="288"/>
      <c r="CK32" s="288"/>
      <c r="CL32" s="288"/>
      <c r="CM32" s="289"/>
      <c r="CN32" s="218"/>
      <c r="CO32" s="219"/>
      <c r="CP32" s="288"/>
      <c r="CQ32" s="288"/>
      <c r="CR32" s="288"/>
      <c r="CS32" s="288"/>
      <c r="CT32" s="288"/>
      <c r="CU32" s="288"/>
      <c r="CV32" s="288"/>
      <c r="CW32" s="288"/>
      <c r="CX32" s="288"/>
      <c r="CY32" s="288"/>
      <c r="CZ32" s="289"/>
      <c r="DA32" s="218"/>
      <c r="DB32" s="219"/>
      <c r="DC32" s="288"/>
      <c r="DD32" s="288"/>
      <c r="DE32" s="288"/>
      <c r="DF32" s="288"/>
      <c r="DG32" s="288"/>
      <c r="DH32" s="288"/>
      <c r="DI32" s="288"/>
      <c r="DJ32" s="288"/>
      <c r="DK32" s="288"/>
      <c r="DL32" s="288"/>
      <c r="DM32" s="289"/>
      <c r="DN32" s="218"/>
      <c r="DO32" s="219"/>
      <c r="DP32" s="288"/>
      <c r="DQ32" s="288"/>
      <c r="DR32" s="288"/>
      <c r="DS32" s="288"/>
      <c r="DT32" s="288"/>
      <c r="DU32" s="288"/>
      <c r="DV32" s="288"/>
      <c r="DW32" s="288"/>
      <c r="DX32" s="288"/>
      <c r="DY32" s="288"/>
      <c r="DZ32" s="289"/>
      <c r="EA32" s="218"/>
      <c r="EB32" s="219"/>
      <c r="EC32" s="288"/>
      <c r="ED32" s="288"/>
      <c r="EE32" s="288"/>
      <c r="EF32" s="288"/>
      <c r="EG32" s="288"/>
      <c r="EH32" s="288"/>
      <c r="EI32" s="288"/>
      <c r="EJ32" s="288"/>
      <c r="EK32" s="288"/>
      <c r="EL32" s="288"/>
      <c r="EM32" s="289"/>
      <c r="EN32" s="218"/>
      <c r="EO32" s="219"/>
      <c r="EP32" s="288"/>
      <c r="EQ32" s="288"/>
      <c r="ER32" s="288"/>
      <c r="ES32" s="288"/>
      <c r="ET32" s="288"/>
      <c r="EU32" s="288"/>
      <c r="EV32" s="288"/>
      <c r="EW32" s="288"/>
      <c r="EX32" s="288"/>
      <c r="EY32" s="288"/>
      <c r="EZ32" s="289"/>
      <c r="FA32" s="218"/>
      <c r="FB32" s="219"/>
      <c r="FC32" s="288"/>
      <c r="FD32" s="288"/>
      <c r="FE32" s="288"/>
      <c r="FF32" s="288"/>
      <c r="FG32" s="288"/>
      <c r="FH32" s="288"/>
      <c r="FI32" s="288"/>
      <c r="FJ32" s="288"/>
      <c r="FK32" s="288"/>
      <c r="FL32" s="288"/>
      <c r="FM32" s="289"/>
      <c r="FN32" s="218"/>
      <c r="FO32" s="219"/>
      <c r="FP32" s="288"/>
      <c r="FQ32" s="288"/>
      <c r="FR32" s="288"/>
      <c r="FS32" s="288"/>
      <c r="FT32" s="288"/>
      <c r="FU32" s="288"/>
      <c r="FV32" s="288"/>
      <c r="FW32" s="288"/>
      <c r="FX32" s="288"/>
      <c r="FY32" s="288"/>
      <c r="FZ32" s="289"/>
      <c r="GA32" s="218"/>
      <c r="GB32" s="219"/>
      <c r="GC32" s="288"/>
      <c r="GD32" s="288"/>
      <c r="GE32" s="288"/>
      <c r="GF32" s="288"/>
      <c r="GG32" s="288"/>
      <c r="GH32" s="288"/>
      <c r="GI32" s="288"/>
      <c r="GJ32" s="288"/>
      <c r="GK32" s="288"/>
      <c r="GL32" s="288"/>
      <c r="GM32" s="289"/>
      <c r="GN32" s="218"/>
      <c r="GO32" s="219"/>
      <c r="GP32" s="288"/>
      <c r="GQ32" s="288"/>
      <c r="GR32" s="288"/>
      <c r="GS32" s="288"/>
      <c r="GT32" s="288"/>
      <c r="GU32" s="288"/>
      <c r="GV32" s="288"/>
      <c r="GW32" s="288"/>
      <c r="GX32" s="288"/>
      <c r="GY32" s="288"/>
      <c r="GZ32" s="289"/>
      <c r="HA32" s="218"/>
      <c r="HB32" s="219"/>
      <c r="HC32" s="288"/>
      <c r="HD32" s="288"/>
      <c r="HE32" s="288"/>
      <c r="HF32" s="288"/>
      <c r="HG32" s="288"/>
      <c r="HH32" s="288"/>
      <c r="HI32" s="288"/>
      <c r="HJ32" s="288"/>
      <c r="HK32" s="288"/>
      <c r="HL32" s="288"/>
      <c r="HM32" s="289"/>
      <c r="HN32" s="218"/>
      <c r="HO32" s="219"/>
      <c r="HP32" s="288"/>
      <c r="HQ32" s="288"/>
      <c r="HR32" s="288"/>
      <c r="HS32" s="288"/>
      <c r="HT32" s="288"/>
      <c r="HU32" s="288"/>
      <c r="HV32" s="288"/>
      <c r="HW32" s="288"/>
      <c r="HX32" s="288"/>
      <c r="HY32" s="288"/>
      <c r="HZ32" s="289"/>
      <c r="IA32" s="218"/>
      <c r="IB32" s="219"/>
      <c r="IC32" s="288"/>
      <c r="ID32" s="288"/>
      <c r="IE32" s="288"/>
      <c r="IF32" s="288"/>
      <c r="IG32" s="288"/>
      <c r="IH32" s="288"/>
      <c r="II32" s="288"/>
      <c r="IJ32" s="288"/>
      <c r="IK32" s="288"/>
      <c r="IL32" s="288"/>
      <c r="IM32" s="289"/>
      <c r="IN32" s="218"/>
      <c r="IO32" s="219"/>
      <c r="IP32" s="288"/>
      <c r="IQ32" s="288"/>
      <c r="IR32" s="288"/>
      <c r="IS32" s="288"/>
      <c r="IT32" s="288"/>
      <c r="IU32" s="288"/>
      <c r="IV32" s="288"/>
    </row>
    <row r="33" spans="1:256" x14ac:dyDescent="0.2">
      <c r="A33" s="218"/>
      <c r="B33" s="219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9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9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9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9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9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9"/>
      <c r="N38" s="211"/>
      <c r="O38" s="211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07"/>
      <c r="AB38" s="207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7"/>
      <c r="AO38" s="207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7"/>
      <c r="BB38" s="207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7"/>
      <c r="BO38" s="207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7"/>
      <c r="CB38" s="207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7"/>
      <c r="CO38" s="207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7"/>
      <c r="DB38" s="207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7"/>
      <c r="DO38" s="207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7"/>
      <c r="EB38" s="207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7"/>
      <c r="EO38" s="207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7"/>
      <c r="FB38" s="207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7"/>
      <c r="FO38" s="207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7"/>
      <c r="GB38" s="207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7"/>
      <c r="GO38" s="207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7"/>
      <c r="HB38" s="207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7"/>
      <c r="HO38" s="207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7"/>
      <c r="IB38" s="207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7"/>
      <c r="IO38" s="207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8"/>
      <c r="B39" s="219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9"/>
      <c r="N39" s="211"/>
      <c r="O39" s="211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07"/>
      <c r="AB39" s="207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7"/>
      <c r="AO39" s="207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7"/>
      <c r="BB39" s="207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7"/>
      <c r="BO39" s="207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7"/>
      <c r="CB39" s="207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7"/>
      <c r="CO39" s="207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7"/>
      <c r="DB39" s="207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7"/>
      <c r="DO39" s="207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7"/>
      <c r="EB39" s="207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7"/>
      <c r="EO39" s="207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7"/>
      <c r="FB39" s="207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7"/>
      <c r="FO39" s="207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7"/>
      <c r="GB39" s="207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7"/>
      <c r="GO39" s="207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7"/>
      <c r="HB39" s="207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7"/>
      <c r="HO39" s="207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7"/>
      <c r="IB39" s="207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7"/>
      <c r="IO39" s="207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8"/>
      <c r="B40" s="219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9"/>
      <c r="N40" s="211"/>
      <c r="O40" s="211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07"/>
      <c r="AB40" s="207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7"/>
      <c r="AO40" s="207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7"/>
      <c r="BB40" s="207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7"/>
      <c r="BO40" s="207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7"/>
      <c r="CB40" s="207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7"/>
      <c r="CO40" s="207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7"/>
      <c r="DB40" s="207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7"/>
      <c r="DO40" s="207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7"/>
      <c r="EB40" s="207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7"/>
      <c r="EO40" s="207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7"/>
      <c r="FB40" s="207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7"/>
      <c r="FO40" s="207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7"/>
      <c r="GB40" s="207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7"/>
      <c r="GO40" s="207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7"/>
      <c r="HB40" s="207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7"/>
      <c r="HO40" s="207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7"/>
      <c r="IB40" s="207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7"/>
      <c r="IO40" s="207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8"/>
      <c r="B41" s="219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9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9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9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9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9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9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9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9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9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9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9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9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9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9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9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9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9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9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9"/>
    </row>
    <row r="60" spans="1:256" x14ac:dyDescent="0.2">
      <c r="A60" s="218"/>
      <c r="B60" s="219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9"/>
    </row>
    <row r="61" spans="1:256" x14ac:dyDescent="0.2">
      <c r="A61" s="218"/>
      <c r="B61" s="219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9"/>
    </row>
    <row r="62" spans="1:256" x14ac:dyDescent="0.2">
      <c r="A62" s="218"/>
      <c r="B62" s="219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9"/>
    </row>
    <row r="63" spans="1:256" x14ac:dyDescent="0.2">
      <c r="A63" s="218"/>
      <c r="B63" s="219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9"/>
    </row>
    <row r="64" spans="1:256" x14ac:dyDescent="0.2">
      <c r="A64" s="218"/>
      <c r="B64" s="219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9"/>
    </row>
    <row r="65" spans="1:13" x14ac:dyDescent="0.2">
      <c r="A65" s="218"/>
      <c r="B65" s="219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9"/>
    </row>
    <row r="66" spans="1:13" x14ac:dyDescent="0.2">
      <c r="A66" s="218"/>
      <c r="B66" s="219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9"/>
    </row>
    <row r="67" spans="1:13" x14ac:dyDescent="0.2">
      <c r="A67" s="218"/>
      <c r="B67" s="219"/>
      <c r="C67" s="288"/>
      <c r="D67" s="288"/>
      <c r="E67" s="288"/>
      <c r="F67" s="288"/>
      <c r="G67" s="288"/>
      <c r="H67" s="288"/>
      <c r="I67" s="288"/>
      <c r="J67" s="288"/>
      <c r="K67" s="288"/>
      <c r="L67" s="288"/>
      <c r="M67" s="289"/>
    </row>
    <row r="68" spans="1:13" x14ac:dyDescent="0.2">
      <c r="A68" s="218"/>
      <c r="B68" s="219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9"/>
    </row>
    <row r="69" spans="1:13" x14ac:dyDescent="0.2">
      <c r="A69" s="218"/>
      <c r="B69" s="219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9"/>
    </row>
    <row r="70" spans="1:13" ht="12" thickBot="1" x14ac:dyDescent="0.25">
      <c r="A70" s="220"/>
      <c r="B70" s="221"/>
      <c r="C70" s="301"/>
      <c r="D70" s="301"/>
      <c r="E70" s="301"/>
      <c r="F70" s="301"/>
      <c r="G70" s="301"/>
      <c r="H70" s="301"/>
      <c r="I70" s="301"/>
      <c r="J70" s="301"/>
      <c r="K70" s="301"/>
      <c r="L70" s="301"/>
      <c r="M70" s="302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3" t="s">
        <v>847</v>
      </c>
      <c r="B72" s="303"/>
      <c r="C72" s="303"/>
      <c r="D72" s="303"/>
      <c r="E72" s="30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300"/>
      <c r="D73" s="300"/>
      <c r="E73" s="300"/>
      <c r="F73" s="300"/>
      <c r="G73" s="300"/>
      <c r="H73" s="300"/>
      <c r="I73" s="300"/>
      <c r="J73" s="300"/>
      <c r="K73" s="300"/>
      <c r="L73" s="300"/>
      <c r="M73" s="300"/>
    </row>
    <row r="74" spans="1:13" x14ac:dyDescent="0.2">
      <c r="A74" s="211"/>
      <c r="B74" s="211"/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</row>
    <row r="75" spans="1:13" x14ac:dyDescent="0.2">
      <c r="A75" s="211"/>
      <c r="B75" s="211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</row>
    <row r="76" spans="1:13" x14ac:dyDescent="0.2">
      <c r="A76" s="211"/>
      <c r="B76" s="211"/>
      <c r="C76" s="300"/>
      <c r="D76" s="300"/>
      <c r="E76" s="300"/>
      <c r="F76" s="300"/>
      <c r="G76" s="300"/>
      <c r="H76" s="300"/>
      <c r="I76" s="300"/>
      <c r="J76" s="300"/>
      <c r="K76" s="300"/>
      <c r="L76" s="300"/>
      <c r="M76" s="300"/>
    </row>
    <row r="77" spans="1:13" x14ac:dyDescent="0.2">
      <c r="A77" s="211"/>
      <c r="B77" s="211"/>
      <c r="C77" s="300"/>
      <c r="D77" s="300"/>
      <c r="E77" s="300"/>
      <c r="F77" s="300"/>
      <c r="G77" s="300"/>
      <c r="H77" s="300"/>
      <c r="I77" s="300"/>
      <c r="J77" s="300"/>
      <c r="K77" s="300"/>
      <c r="L77" s="300"/>
      <c r="M77" s="300"/>
    </row>
    <row r="78" spans="1:13" x14ac:dyDescent="0.2">
      <c r="A78" s="211"/>
      <c r="B78" s="211"/>
      <c r="C78" s="300"/>
      <c r="D78" s="300"/>
      <c r="E78" s="300"/>
      <c r="F78" s="300"/>
      <c r="G78" s="300"/>
      <c r="H78" s="300"/>
      <c r="I78" s="300"/>
      <c r="J78" s="300"/>
      <c r="K78" s="300"/>
      <c r="L78" s="300"/>
      <c r="M78" s="300"/>
    </row>
    <row r="79" spans="1:13" x14ac:dyDescent="0.2">
      <c r="A79" s="211"/>
      <c r="B79" s="211"/>
      <c r="C79" s="300"/>
      <c r="D79" s="300"/>
      <c r="E79" s="300"/>
      <c r="F79" s="300"/>
      <c r="G79" s="300"/>
      <c r="H79" s="300"/>
      <c r="I79" s="300"/>
      <c r="J79" s="300"/>
      <c r="K79" s="300"/>
      <c r="L79" s="300"/>
      <c r="M79" s="300"/>
    </row>
    <row r="80" spans="1:13" x14ac:dyDescent="0.2">
      <c r="A80" s="211"/>
      <c r="B80" s="211"/>
      <c r="C80" s="300"/>
      <c r="D80" s="300"/>
      <c r="E80" s="300"/>
      <c r="F80" s="300"/>
      <c r="G80" s="300"/>
      <c r="H80" s="300"/>
      <c r="I80" s="300"/>
      <c r="J80" s="300"/>
      <c r="K80" s="300"/>
      <c r="L80" s="300"/>
      <c r="M80" s="300"/>
    </row>
    <row r="81" spans="1:13" x14ac:dyDescent="0.2">
      <c r="A81" s="211"/>
      <c r="B81" s="211"/>
      <c r="C81" s="300"/>
      <c r="D81" s="300"/>
      <c r="E81" s="300"/>
      <c r="F81" s="300"/>
      <c r="G81" s="300"/>
      <c r="H81" s="300"/>
      <c r="I81" s="300"/>
      <c r="J81" s="300"/>
      <c r="K81" s="300"/>
      <c r="L81" s="300"/>
      <c r="M81" s="300"/>
    </row>
    <row r="82" spans="1:13" x14ac:dyDescent="0.2">
      <c r="A82" s="211"/>
      <c r="B82" s="211"/>
      <c r="C82" s="300"/>
      <c r="D82" s="300"/>
      <c r="E82" s="300"/>
      <c r="F82" s="300"/>
      <c r="G82" s="300"/>
      <c r="H82" s="300"/>
      <c r="I82" s="300"/>
      <c r="J82" s="300"/>
      <c r="K82" s="300"/>
      <c r="L82" s="300"/>
      <c r="M82" s="300"/>
    </row>
    <row r="83" spans="1:13" x14ac:dyDescent="0.2">
      <c r="A83" s="211"/>
      <c r="B83" s="211"/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300"/>
    </row>
    <row r="84" spans="1:13" x14ac:dyDescent="0.2">
      <c r="A84" s="211"/>
      <c r="B84" s="211"/>
      <c r="C84" s="300"/>
      <c r="D84" s="300"/>
      <c r="E84" s="300"/>
      <c r="F84" s="300"/>
      <c r="G84" s="300"/>
      <c r="H84" s="300"/>
      <c r="I84" s="300"/>
      <c r="J84" s="300"/>
      <c r="K84" s="300"/>
      <c r="L84" s="300"/>
      <c r="M84" s="300"/>
    </row>
    <row r="85" spans="1:13" x14ac:dyDescent="0.2">
      <c r="A85" s="211"/>
      <c r="B85" s="211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</row>
    <row r="86" spans="1:13" x14ac:dyDescent="0.2">
      <c r="A86" s="211"/>
      <c r="B86" s="211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</row>
    <row r="87" spans="1:13" x14ac:dyDescent="0.2">
      <c r="A87" s="211"/>
      <c r="B87" s="211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</row>
    <row r="88" spans="1:13" x14ac:dyDescent="0.2">
      <c r="A88" s="211"/>
      <c r="B88" s="211"/>
      <c r="C88" s="300"/>
      <c r="D88" s="300"/>
      <c r="E88" s="300"/>
      <c r="F88" s="300"/>
      <c r="G88" s="300"/>
      <c r="H88" s="300"/>
      <c r="I88" s="300"/>
      <c r="J88" s="300"/>
      <c r="K88" s="300"/>
      <c r="L88" s="300"/>
      <c r="M88" s="300"/>
    </row>
    <row r="89" spans="1:13" x14ac:dyDescent="0.2">
      <c r="A89" s="211"/>
      <c r="B89" s="211"/>
      <c r="C89" s="300"/>
      <c r="D89" s="300"/>
      <c r="E89" s="300"/>
      <c r="F89" s="300"/>
      <c r="G89" s="300"/>
      <c r="H89" s="300"/>
      <c r="I89" s="300"/>
      <c r="J89" s="300"/>
      <c r="K89" s="300"/>
      <c r="L89" s="300"/>
      <c r="M89" s="300"/>
    </row>
    <row r="90" spans="1:13" x14ac:dyDescent="0.2">
      <c r="A90" s="211"/>
      <c r="B90" s="211"/>
      <c r="C90" s="300"/>
      <c r="D90" s="300"/>
      <c r="E90" s="300"/>
      <c r="F90" s="300"/>
      <c r="G90" s="300"/>
      <c r="H90" s="300"/>
      <c r="I90" s="300"/>
      <c r="J90" s="300"/>
      <c r="K90" s="300"/>
      <c r="L90" s="300"/>
      <c r="M90" s="300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2017-09-13T15:24:42Z</cp:lastPrinted>
  <dcterms:created xsi:type="dcterms:W3CDTF">1997-12-04T19:04:30Z</dcterms:created>
  <dcterms:modified xsi:type="dcterms:W3CDTF">2017-11-29T17:31:53Z</dcterms:modified>
</cp:coreProperties>
</file>