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200" windowHeight="115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B30" i="12" l="1"/>
  <c r="B29" i="12"/>
  <c r="B28" i="12"/>
  <c r="C37" i="12"/>
  <c r="C30" i="12"/>
  <c r="C28" i="12" s="1"/>
  <c r="C29" i="12"/>
  <c r="C19" i="12"/>
  <c r="C21" i="12"/>
  <c r="C20" i="12"/>
  <c r="C10" i="12"/>
  <c r="C12" i="12"/>
  <c r="C11" i="12"/>
  <c r="B19" i="12"/>
  <c r="B12" i="12"/>
  <c r="B11" i="12"/>
  <c r="B10" i="12"/>
  <c r="B21" i="12"/>
  <c r="B20" i="12"/>
  <c r="B37" i="12"/>
  <c r="F613" i="1"/>
  <c r="F612" i="1"/>
  <c r="F611" i="1"/>
  <c r="G523" i="1"/>
  <c r="H523" i="1"/>
  <c r="I523" i="1"/>
  <c r="J523" i="1"/>
  <c r="F523" i="1"/>
  <c r="G522" i="1"/>
  <c r="H522" i="1"/>
  <c r="I522" i="1"/>
  <c r="J522" i="1"/>
  <c r="F522" i="1"/>
  <c r="G521" i="1"/>
  <c r="H521" i="1"/>
  <c r="I521" i="1"/>
  <c r="J521" i="1"/>
  <c r="F521" i="1"/>
  <c r="F367" i="1"/>
  <c r="F368" i="1" l="1"/>
  <c r="J604" i="1"/>
  <c r="I604" i="1"/>
  <c r="H604" i="1"/>
  <c r="G532" i="1"/>
  <c r="G533" i="1"/>
  <c r="G531" i="1"/>
  <c r="G527" i="1"/>
  <c r="G528" i="1"/>
  <c r="G526" i="1"/>
  <c r="J596" i="1" l="1"/>
  <c r="J592" i="1"/>
  <c r="I592" i="1"/>
  <c r="H595" i="1"/>
  <c r="H59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E120" i="2" s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C143" i="2" s="1"/>
  <c r="L349" i="1"/>
  <c r="C26" i="10" s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2" i="2"/>
  <c r="C113" i="2"/>
  <c r="D115" i="2"/>
  <c r="F115" i="2"/>
  <c r="G115" i="2"/>
  <c r="E119" i="2"/>
  <c r="E123" i="2"/>
  <c r="E124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F461" i="1" s="1"/>
  <c r="H639" i="1" s="1"/>
  <c r="G452" i="1"/>
  <c r="G461" i="1" s="1"/>
  <c r="H640" i="1" s="1"/>
  <c r="H452" i="1"/>
  <c r="F460" i="1"/>
  <c r="G460" i="1"/>
  <c r="H460" i="1"/>
  <c r="H461" i="1" s="1"/>
  <c r="H641" i="1" s="1"/>
  <c r="I470" i="1"/>
  <c r="J470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30" i="1"/>
  <c r="H631" i="1"/>
  <c r="H636" i="1"/>
  <c r="H637" i="1"/>
  <c r="H638" i="1"/>
  <c r="G641" i="1"/>
  <c r="G643" i="1"/>
  <c r="J643" i="1" s="1"/>
  <c r="G644" i="1"/>
  <c r="H644" i="1"/>
  <c r="G645" i="1"/>
  <c r="G650" i="1"/>
  <c r="G652" i="1"/>
  <c r="H652" i="1"/>
  <c r="G653" i="1"/>
  <c r="H653" i="1"/>
  <c r="G654" i="1"/>
  <c r="H654" i="1"/>
  <c r="H655" i="1"/>
  <c r="G62" i="2"/>
  <c r="I169" i="1"/>
  <c r="I476" i="1"/>
  <c r="H625" i="1" s="1"/>
  <c r="J625" i="1" s="1"/>
  <c r="J140" i="1"/>
  <c r="F571" i="1"/>
  <c r="G192" i="1"/>
  <c r="A13" i="12" l="1"/>
  <c r="A31" i="12"/>
  <c r="F552" i="1"/>
  <c r="J639" i="1"/>
  <c r="J644" i="1"/>
  <c r="L539" i="1"/>
  <c r="E103" i="2"/>
  <c r="I552" i="1"/>
  <c r="L393" i="1"/>
  <c r="C138" i="2" s="1"/>
  <c r="E125" i="2"/>
  <c r="E121" i="2"/>
  <c r="E112" i="2"/>
  <c r="D19" i="13"/>
  <c r="C19" i="13" s="1"/>
  <c r="D7" i="13"/>
  <c r="C7" i="13" s="1"/>
  <c r="J655" i="1"/>
  <c r="K571" i="1"/>
  <c r="J645" i="1"/>
  <c r="L382" i="1"/>
  <c r="G636" i="1" s="1"/>
  <c r="J636" i="1" s="1"/>
  <c r="L401" i="1"/>
  <c r="C139" i="2" s="1"/>
  <c r="J641" i="1"/>
  <c r="L560" i="1"/>
  <c r="K503" i="1"/>
  <c r="L427" i="1"/>
  <c r="H571" i="1"/>
  <c r="L570" i="1"/>
  <c r="I571" i="1"/>
  <c r="L565" i="1"/>
  <c r="J571" i="1"/>
  <c r="K545" i="1"/>
  <c r="J640" i="1"/>
  <c r="L419" i="1"/>
  <c r="F192" i="1"/>
  <c r="D50" i="2"/>
  <c r="G157" i="2"/>
  <c r="D18" i="13"/>
  <c r="C18" i="13" s="1"/>
  <c r="E16" i="13"/>
  <c r="G164" i="2"/>
  <c r="G161" i="2"/>
  <c r="G156" i="2"/>
  <c r="G81" i="2"/>
  <c r="F78" i="2"/>
  <c r="F81" i="2" s="1"/>
  <c r="D31" i="2"/>
  <c r="D18" i="2"/>
  <c r="E78" i="2"/>
  <c r="H52" i="1"/>
  <c r="H619" i="1" s="1"/>
  <c r="J619" i="1" s="1"/>
  <c r="E31" i="2"/>
  <c r="G545" i="1"/>
  <c r="J552" i="1"/>
  <c r="K551" i="1"/>
  <c r="I545" i="1"/>
  <c r="H552" i="1"/>
  <c r="G552" i="1"/>
  <c r="K549" i="1"/>
  <c r="H545" i="1"/>
  <c r="C109" i="2"/>
  <c r="K605" i="1"/>
  <c r="G648" i="1" s="1"/>
  <c r="K598" i="1"/>
  <c r="G647" i="1" s="1"/>
  <c r="J617" i="1"/>
  <c r="C18" i="2"/>
  <c r="C91" i="2"/>
  <c r="C78" i="2"/>
  <c r="C70" i="2"/>
  <c r="H338" i="1"/>
  <c r="H352" i="1" s="1"/>
  <c r="E109" i="2"/>
  <c r="D62" i="2"/>
  <c r="D63" i="2" s="1"/>
  <c r="J257" i="1"/>
  <c r="J271" i="1" s="1"/>
  <c r="L309" i="1"/>
  <c r="D12" i="13"/>
  <c r="C12" i="13" s="1"/>
  <c r="C25" i="10"/>
  <c r="E110" i="2"/>
  <c r="K338" i="1"/>
  <c r="K352" i="1" s="1"/>
  <c r="C19" i="10"/>
  <c r="L270" i="1"/>
  <c r="F662" i="1"/>
  <c r="C118" i="2"/>
  <c r="D17" i="13"/>
  <c r="C17" i="13" s="1"/>
  <c r="C121" i="2"/>
  <c r="D81" i="2"/>
  <c r="C20" i="10"/>
  <c r="K257" i="1"/>
  <c r="K271" i="1" s="1"/>
  <c r="I257" i="1"/>
  <c r="I271" i="1" s="1"/>
  <c r="C18" i="10"/>
  <c r="E62" i="2"/>
  <c r="E63" i="2" s="1"/>
  <c r="E114" i="2"/>
  <c r="C21" i="10"/>
  <c r="G649" i="1"/>
  <c r="J649" i="1" s="1"/>
  <c r="D15" i="13"/>
  <c r="C15" i="13" s="1"/>
  <c r="C124" i="2"/>
  <c r="E118" i="2"/>
  <c r="L290" i="1"/>
  <c r="D91" i="2"/>
  <c r="C15" i="10"/>
  <c r="F661" i="1"/>
  <c r="C12" i="10"/>
  <c r="C122" i="2"/>
  <c r="E13" i="13"/>
  <c r="C13" i="13" s="1"/>
  <c r="E8" i="13"/>
  <c r="C8" i="13" s="1"/>
  <c r="D6" i="13"/>
  <c r="C6" i="13" s="1"/>
  <c r="L256" i="1"/>
  <c r="C11" i="10"/>
  <c r="L229" i="1"/>
  <c r="L211" i="1"/>
  <c r="C10" i="10"/>
  <c r="G257" i="1"/>
  <c r="G271" i="1" s="1"/>
  <c r="D127" i="2"/>
  <c r="D128" i="2" s="1"/>
  <c r="D145" i="2" s="1"/>
  <c r="C120" i="2"/>
  <c r="C17" i="10"/>
  <c r="G338" i="1"/>
  <c r="G352" i="1" s="1"/>
  <c r="C62" i="2"/>
  <c r="C63" i="2" s="1"/>
  <c r="F112" i="1"/>
  <c r="L247" i="1"/>
  <c r="H257" i="1"/>
  <c r="H271" i="1" s="1"/>
  <c r="L328" i="1"/>
  <c r="F338" i="1"/>
  <c r="F352" i="1" s="1"/>
  <c r="C16" i="10"/>
  <c r="A40" i="12"/>
  <c r="F257" i="1"/>
  <c r="F271" i="1" s="1"/>
  <c r="H661" i="1"/>
  <c r="C16" i="13"/>
  <c r="J634" i="1"/>
  <c r="C35" i="10"/>
  <c r="D14" i="13"/>
  <c r="C14" i="13" s="1"/>
  <c r="L544" i="1"/>
  <c r="D5" i="13"/>
  <c r="C5" i="13" s="1"/>
  <c r="F22" i="13"/>
  <c r="C22" i="13" s="1"/>
  <c r="K550" i="1"/>
  <c r="H112" i="1"/>
  <c r="H193" i="1" s="1"/>
  <c r="D29" i="13"/>
  <c r="C29" i="13" s="1"/>
  <c r="G651" i="1"/>
  <c r="J651" i="1" s="1"/>
  <c r="G624" i="1"/>
  <c r="L534" i="1"/>
  <c r="K500" i="1"/>
  <c r="I460" i="1"/>
  <c r="I452" i="1"/>
  <c r="I461" i="1" s="1"/>
  <c r="H642" i="1" s="1"/>
  <c r="I446" i="1"/>
  <c r="G642" i="1" s="1"/>
  <c r="C125" i="2"/>
  <c r="C123" i="2"/>
  <c r="C119" i="2"/>
  <c r="C114" i="2"/>
  <c r="C110" i="2"/>
  <c r="E132" i="2"/>
  <c r="E144" i="2" s="1"/>
  <c r="H662" i="1"/>
  <c r="I662" i="1" s="1"/>
  <c r="G661" i="1"/>
  <c r="L362" i="1"/>
  <c r="C29" i="10"/>
  <c r="L524" i="1"/>
  <c r="J338" i="1"/>
  <c r="J352" i="1" s="1"/>
  <c r="C13" i="10"/>
  <c r="H25" i="13"/>
  <c r="F169" i="1"/>
  <c r="E81" i="2"/>
  <c r="L351" i="1"/>
  <c r="H647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J652" i="1"/>
  <c r="J642" i="1"/>
  <c r="G571" i="1"/>
  <c r="I434" i="1"/>
  <c r="G434" i="1"/>
  <c r="I663" i="1"/>
  <c r="C141" i="2" l="1"/>
  <c r="C144" i="2" s="1"/>
  <c r="F51" i="2"/>
  <c r="F104" i="2"/>
  <c r="E128" i="2"/>
  <c r="G635" i="1"/>
  <c r="G472" i="1"/>
  <c r="G629" i="1"/>
  <c r="H468" i="1"/>
  <c r="E51" i="2"/>
  <c r="K552" i="1"/>
  <c r="L545" i="1"/>
  <c r="C81" i="2"/>
  <c r="C104" i="2" s="1"/>
  <c r="J647" i="1"/>
  <c r="E104" i="2"/>
  <c r="G660" i="1"/>
  <c r="G664" i="1" s="1"/>
  <c r="C27" i="10"/>
  <c r="C28" i="10" s="1"/>
  <c r="D19" i="10" s="1"/>
  <c r="E115" i="2"/>
  <c r="E145" i="2" s="1"/>
  <c r="H648" i="1"/>
  <c r="J648" i="1" s="1"/>
  <c r="I661" i="1"/>
  <c r="C36" i="10"/>
  <c r="F660" i="1"/>
  <c r="F664" i="1" s="1"/>
  <c r="D104" i="2"/>
  <c r="L338" i="1"/>
  <c r="L352" i="1" s="1"/>
  <c r="E33" i="13"/>
  <c r="D35" i="13" s="1"/>
  <c r="L257" i="1"/>
  <c r="L271" i="1" s="1"/>
  <c r="H660" i="1"/>
  <c r="H664" i="1" s="1"/>
  <c r="H667" i="1" s="1"/>
  <c r="D31" i="13"/>
  <c r="C31" i="13" s="1"/>
  <c r="G104" i="2"/>
  <c r="C39" i="10"/>
  <c r="C25" i="13"/>
  <c r="H33" i="13"/>
  <c r="C128" i="2"/>
  <c r="F193" i="1"/>
  <c r="L408" i="1"/>
  <c r="C115" i="2"/>
  <c r="C51" i="2"/>
  <c r="G631" i="1"/>
  <c r="J631" i="1" s="1"/>
  <c r="G193" i="1"/>
  <c r="G626" i="1"/>
  <c r="J626" i="1" s="1"/>
  <c r="J52" i="1"/>
  <c r="H621" i="1" s="1"/>
  <c r="J621" i="1" s="1"/>
  <c r="C38" i="10"/>
  <c r="G628" i="1" l="1"/>
  <c r="G468" i="1"/>
  <c r="H635" i="1"/>
  <c r="J635" i="1" s="1"/>
  <c r="G474" i="1"/>
  <c r="G627" i="1"/>
  <c r="F468" i="1"/>
  <c r="H470" i="1"/>
  <c r="H629" i="1"/>
  <c r="J629" i="1"/>
  <c r="G633" i="1"/>
  <c r="H472" i="1"/>
  <c r="G632" i="1"/>
  <c r="F472" i="1"/>
  <c r="F667" i="1"/>
  <c r="F672" i="1"/>
  <c r="C4" i="10" s="1"/>
  <c r="C145" i="2"/>
  <c r="I660" i="1"/>
  <c r="I664" i="1" s="1"/>
  <c r="I672" i="1" s="1"/>
  <c r="C7" i="10" s="1"/>
  <c r="D13" i="10"/>
  <c r="C30" i="10"/>
  <c r="D22" i="10"/>
  <c r="D16" i="10"/>
  <c r="D18" i="10"/>
  <c r="D26" i="10"/>
  <c r="D27" i="10"/>
  <c r="D17" i="10"/>
  <c r="D21" i="10"/>
  <c r="D24" i="10"/>
  <c r="D10" i="10"/>
  <c r="D11" i="10"/>
  <c r="D12" i="10"/>
  <c r="D23" i="10"/>
  <c r="D20" i="10"/>
  <c r="D15" i="10"/>
  <c r="D25" i="10"/>
  <c r="D33" i="13"/>
  <c r="D36" i="13" s="1"/>
  <c r="H672" i="1"/>
  <c r="C6" i="10" s="1"/>
  <c r="G667" i="1"/>
  <c r="G672" i="1"/>
  <c r="C5" i="10" s="1"/>
  <c r="G637" i="1"/>
  <c r="J637" i="1" s="1"/>
  <c r="H646" i="1"/>
  <c r="J646" i="1" s="1"/>
  <c r="C41" i="10"/>
  <c r="D38" i="10" s="1"/>
  <c r="H627" i="1" l="1"/>
  <c r="F470" i="1"/>
  <c r="G470" i="1"/>
  <c r="G476" i="1" s="1"/>
  <c r="H623" i="1" s="1"/>
  <c r="J623" i="1" s="1"/>
  <c r="H628" i="1"/>
  <c r="J627" i="1"/>
  <c r="J628" i="1"/>
  <c r="H633" i="1"/>
  <c r="J633" i="1" s="1"/>
  <c r="H474" i="1"/>
  <c r="H476" i="1" s="1"/>
  <c r="H624" i="1" s="1"/>
  <c r="J624" i="1" s="1"/>
  <c r="F474" i="1"/>
  <c r="F476" i="1" s="1"/>
  <c r="H622" i="1" s="1"/>
  <c r="H632" i="1"/>
  <c r="J632" i="1" s="1"/>
  <c r="I667" i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<sst xmlns="http://schemas.openxmlformats.org/spreadsheetml/2006/main" count="3955" uniqueCount="913">
  <si>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</si>
  <si>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</si>
  <si>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</si>
  <si>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</si>
  <si>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</si>
  <si>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</si>
  <si>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</si>
  <si>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</si>
  <si>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</si>
  <si>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</si>
  <si>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</si>
  <si>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</si>
  <si>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</si>
  <si>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</si>
  <si>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</si>
  <si>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</si>
  <si>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</si>
  <si>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</si>
  <si>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</si>
  <si>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</si>
  <si>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</si>
  <si>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</si>
  <si>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</si>
  <si>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</si>
  <si>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</si>
  <si>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</si>
  <si>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</si>
  <si>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</si>
  <si>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</si>
  <si>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</si>
  <si>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</si>
  <si>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</si>
  <si>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</si>
  <si>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</si>
  <si>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</si>
  <si>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</si>
  <si>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</si>
  <si>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</si>
  <si>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</si>
  <si>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</si>
  <si>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</si>
  <si>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</si>
  <si>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</si>
  <si>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</si>
  <si>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</si>
  <si>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</si>
  <si>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</si>
  <si>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</si>
  <si>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</si>
  <si>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</si>
  <si>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</si>
  <si>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</si>
  <si>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</si>
  <si>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</si>
  <si>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</si>
  <si>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</si>
  <si>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</si>
  <si>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</si>
  <si>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</si>
  <si>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</si>
  <si>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</si>
  <si>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</si>
  <si>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</si>
  <si>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</si>
  <si>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</si>
  <si>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</si>
  <si>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</si>
  <si>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</si>
  <si>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</si>
  <si>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</si>
  <si>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</si>
  <si>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</si>
  <si>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</si>
  <si>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</si>
  <si>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</si>
  <si>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</si>
  <si>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</si>
  <si>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</si>
  <si>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</si>
  <si>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</si>
  <si>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</si>
  <si>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</si>
  <si>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</si>
  <si>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</si>
  <si>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</si>
  <si>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</si>
  <si>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</si>
  <si>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</si>
  <si>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</si>
  <si>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</si>
  <si>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</si>
  <si>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</si>
  <si>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</si>
  <si>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</si>
  <si>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</si>
  <si>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</si>
  <si>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</si>
  <si>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</si>
  <si>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</si>
  <si>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</si>
  <si>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</si>
  <si>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</si>
  <si>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</si>
  <si>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</si>
  <si>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</si>
  <si>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</si>
  <si>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</si>
  <si>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</si>
  <si>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</si>
  <si>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</si>
  <si>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</si>
  <si>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</si>
  <si>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</si>
  <si>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</si>
  <si>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</si>
  <si>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</si>
  <si>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</si>
  <si>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</si>
  <si>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</si>
  <si>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</si>
  <si>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</si>
  <si>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</si>
  <si>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</si>
  <si>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</si>
  <si>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</si>
  <si>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</si>
  <si>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</si>
  <si>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</si>
  <si>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</si>
  <si>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</si>
  <si>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</si>
  <si>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</si>
  <si>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</si>
  <si>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</si>
  <si>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</si>
  <si>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</si>
  <si>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</si>
  <si>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</si>
  <si>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</si>
  <si>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</si>
  <si>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</si>
  <si>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</si>
  <si>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</si>
  <si>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</si>
  <si>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</si>
  <si>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</si>
  <si>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</si>
  <si>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</si>
  <si>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</si>
  <si>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</si>
  <si>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</si>
  <si>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</si>
  <si>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</si>
  <si>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</si>
  <si>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</si>
  <si>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</si>
  <si>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</si>
  <si>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</si>
  <si>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</si>
  <si>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</si>
  <si>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</si>
  <si>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</si>
  <si>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</si>
  <si>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</si>
  <si>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</si>
  <si>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</si>
  <si>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</si>
  <si>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</si>
  <si>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</si>
  <si>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</si>
  <si>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</si>
  <si>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</si>
  <si>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</si>
  <si>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</si>
  <si>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</si>
  <si>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</si>
  <si>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</si>
  <si>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</si>
  <si>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</si>
  <si>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</si>
  <si>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</si>
  <si>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</si>
  <si>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</si>
  <si>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</si>
  <si>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</si>
  <si>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</si>
  <si>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</si>
  <si>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</si>
  <si>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</si>
  <si>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</si>
  <si>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</si>
  <si>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</si>
  <si>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</si>
  <si>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</si>
  <si>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</si>
  <si>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</si>
  <si>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</si>
  <si>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</si>
  <si>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</si>
  <si>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</si>
  <si>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</si>
  <si>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</si>
  <si>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</si>
  <si>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</si>
  <si>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</si>
  <si>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</si>
  <si>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</si>
  <si>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</si>
  <si>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</si>
  <si>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</si>
  <si>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</si>
  <si>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</si>
  <si>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</si>
  <si>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</si>
  <si>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</si>
  <si>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</si>
  <si>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</si>
  <si>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</si>
  <si>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</si>
  <si>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</si>
  <si>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</si>
  <si>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</si>
  <si>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</si>
  <si>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</si>
  <si>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</si>
  <si>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</si>
  <si>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</si>
  <si>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</si>
  <si>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</si>
  <si>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</si>
  <si>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</si>
  <si>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</si>
  <si>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</si>
  <si>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</si>
  <si>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</si>
  <si>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</si>
  <si>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</si>
  <si>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</si>
  <si>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</si>
  <si>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</si>
  <si>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</si>
  <si>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</si>
  <si>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</si>
  <si>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</si>
  <si>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</si>
  <si>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</si>
  <si>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</si>
  <si>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</si>
  <si>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</si>
  <si>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</si>
  <si>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</si>
  <si>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</si>
  <si>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</si>
  <si>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</si>
  <si>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</si>
  <si>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</si>
  <si>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</si>
  <si>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</si>
  <si>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</si>
  <si>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</si>
  <si>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</si>
  <si>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</si>
  <si>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</si>
  <si>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</si>
  <si>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</si>
  <si>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</si>
  <si>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</si>
  <si>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</si>
  <si>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</si>
  <si>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</si>
  <si>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</si>
  <si>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</si>
  <si>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</si>
  <si>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</si>
  <si>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</si>
  <si>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</si>
  <si>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</si>
  <si>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</si>
  <si>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</si>
  <si>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</si>
  <si>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</si>
  <si>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</si>
  <si>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</si>
  <si>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</si>
  <si>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</si>
  <si>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</si>
  <si>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</si>
  <si>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</si>
  <si>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</si>
  <si>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</si>
  <si>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</si>
  <si>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</si>
  <si>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</si>
  <si>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</si>
  <si>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</si>
  <si>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</si>
  <si>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</si>
  <si>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</si>
  <si>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</si>
  <si>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</si>
  <si>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</si>
  <si>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</si>
  <si>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</si>
  <si>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</si>
  <si>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</si>
  <si>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</si>
  <si>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</si>
  <si>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</si>
  <si>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</si>
  <si>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</si>
  <si>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</si>
  <si>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</si>
  <si>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</si>
  <si>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</si>
  <si>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</si>
  <si>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</si>
  <si>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</si>
  <si>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</si>
  <si>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</si>
  <si>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</si>
  <si>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</si>
  <si>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</si>
  <si>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</si>
  <si>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</si>
  <si>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</si>
  <si>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</si>
  <si>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</si>
  <si>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</si>
  <si>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</si>
  <si>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</si>
  <si>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</si>
  <si>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</si>
  <si>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</si>
  <si>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</si>
  <si>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</si>
  <si>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</si>
  <si>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</si>
  <si>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</si>
  <si>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</si>
  <si>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</si>
  <si>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</si>
  <si>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</si>
  <si>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</si>
  <si>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</si>
  <si>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</si>
  <si>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</si>
  <si>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</si>
  <si>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</si>
  <si>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</si>
  <si>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</si>
  <si>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</si>
  <si>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</si>
  <si>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</si>
  <si>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</si>
  <si>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</si>
  <si>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</si>
  <si>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</si>
  <si>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</si>
  <si>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</si>
  <si>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</si>
  <si>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</si>
  <si>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</si>
  <si>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</si>
  <si>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</si>
  <si>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</si>
  <si>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</si>
  <si>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</si>
  <si>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</si>
  <si>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</si>
  <si>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</si>
  <si>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</si>
  <si>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</si>
  <si>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</si>
  <si>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</si>
  <si>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</si>
  <si>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</si>
  <si>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</si>
  <si>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</si>
  <si>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</si>
  <si>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</si>
  <si>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</si>
  <si>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</si>
  <si>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</si>
  <si>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</si>
  <si>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</si>
  <si>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</si>
  <si>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</si>
  <si>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</si>
  <si>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</si>
  <si>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</si>
  <si>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</si>
  <si>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</si>
  <si>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</si>
  <si>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</si>
  <si>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</si>
  <si>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</si>
  <si>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</si>
  <si>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</si>
  <si>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</si>
  <si>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</si>
  <si>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</si>
  <si>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</si>
  <si>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</si>
  <si>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</si>
  <si>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</si>
  <si>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</si>
  <si>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</si>
  <si>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</si>
  <si>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</si>
  <si>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</si>
  <si>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</si>
  <si>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</si>
  <si>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</si>
  <si>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</si>
  <si>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</si>
  <si>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</si>
  <si>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</si>
  <si>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</si>
  <si>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</si>
  <si>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</si>
  <si>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</si>
  <si>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</si>
  <si>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</si>
  <si>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</si>
  <si>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</si>
  <si>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</si>
  <si>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</si>
  <si>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</si>
  <si>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</si>
  <si>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</si>
  <si>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</si>
  <si>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</si>
  <si>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</si>
  <si>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</si>
  <si>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</si>
  <si>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</si>
  <si>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</si>
  <si>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</si>
  <si>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</si>
  <si>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</si>
  <si>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</si>
  <si>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</si>
  <si>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</si>
  <si>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</si>
  <si>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</si>
  <si>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</si>
  <si>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</si>
  <si>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</si>
  <si>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</si>
  <si>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</si>
  <si>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</si>
  <si>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</si>
  <si>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</si>
  <si>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</si>
  <si>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</si>
  <si>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</si>
  <si>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</si>
  <si>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</si>
  <si>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</si>
  <si>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</si>
  <si>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</si>
  <si>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</si>
  <si>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</si>
  <si>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</si>
  <si>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</si>
  <si>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</si>
  <si>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</si>
  <si>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</si>
  <si>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</si>
  <si>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</si>
  <si>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</si>
  <si>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</si>
  <si>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</si>
  <si>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</si>
  <si>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</si>
  <si>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</si>
  <si>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</si>
  <si>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</si>
  <si>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</si>
  <si>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</si>
  <si>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</si>
  <si>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</si>
  <si>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</si>
  <si>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</si>
  <si>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</si>
  <si>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</si>
  <si>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</si>
  <si>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</si>
  <si>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</si>
  <si>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</si>
  <si>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</si>
  <si>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</si>
  <si>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</si>
  <si>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</si>
  <si>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</si>
  <si>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</si>
  <si>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</si>
  <si>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</si>
  <si>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</si>
  <si>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</si>
  <si>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</si>
  <si>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</si>
  <si>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</si>
  <si>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</si>
  <si>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</si>
  <si>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</si>
  <si>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</si>
  <si>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</si>
  <si>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</si>
  <si>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</si>
  <si>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</si>
  <si>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</si>
  <si>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</si>
  <si>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</si>
  <si>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</si>
  <si>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</si>
  <si>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</si>
  <si>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</si>
  <si>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</si>
  <si>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</si>
  <si>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</si>
  <si>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</si>
  <si>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</si>
  <si>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</si>
  <si>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</si>
  <si>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</si>
  <si>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</si>
  <si>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</si>
  <si>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</si>
  <si>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</si>
  <si>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</si>
  <si>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</si>
  <si>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</si>
  <si>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</si>
  <si>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</si>
  <si>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</si>
  <si>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</si>
  <si>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</si>
  <si>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</si>
  <si>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</si>
  <si>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</si>
  <si>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</si>
  <si>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</si>
  <si>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</si>
  <si>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</si>
  <si>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</si>
  <si>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</si>
  <si>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</si>
  <si>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</si>
  <si>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</si>
  <si>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</si>
  <si>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</si>
  <si>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</si>
  <si>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</si>
  <si>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</si>
  <si>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</si>
  <si>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</si>
  <si>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</si>
  <si>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</si>
  <si>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</si>
  <si>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</si>
  <si>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</si>
  <si>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</si>
  <si>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</si>
  <si>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</si>
  <si>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</si>
  <si>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</si>
  <si>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</si>
  <si>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</si>
  <si>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</si>
  <si>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</si>
  <si>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</si>
  <si>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</si>
  <si>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</si>
  <si>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</si>
  <si>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</si>
  <si>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</si>
  <si>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</si>
  <si>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</si>
  <si>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</si>
  <si>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</si>
  <si>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</si>
  <si>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</si>
  <si>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</si>
  <si>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</si>
  <si>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</si>
  <si>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</si>
  <si>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</si>
  <si>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</si>
  <si>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</si>
  <si>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</si>
  <si>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</si>
  <si>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</si>
  <si>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</si>
  <si>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</si>
  <si>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</si>
  <si>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</si>
  <si>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</si>
  <si>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</si>
  <si>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</si>
  <si>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</si>
  <si>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</si>
  <si>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</si>
  <si>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</si>
  <si>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</si>
  <si>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</si>
  <si>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</si>
  <si>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</si>
  <si>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</si>
  <si>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</si>
  <si>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</si>
  <si>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</si>
  <si>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</si>
  <si>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</si>
  <si>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</si>
  <si>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</si>
  <si>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</si>
  <si>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</si>
  <si>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</si>
  <si>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</si>
  <si>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</si>
  <si>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</si>
  <si>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</si>
  <si>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</si>
  <si>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</si>
  <si>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</si>
  <si>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</si>
  <si>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</si>
  <si>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</si>
  <si>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</si>
  <si>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</si>
  <si>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</si>
  <si>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</si>
  <si>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</si>
  <si>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</si>
  <si>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</si>
  <si>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</si>
  <si>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</si>
  <si>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</si>
  <si>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</si>
  <si>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</si>
  <si>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</si>
  <si>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</si>
  <si>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</si>
  <si>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</si>
  <si>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</si>
  <si>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</si>
  <si>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</si>
  <si>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</si>
  <si>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</si>
  <si>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</si>
  <si>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</si>
  <si>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</si>
  <si>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</si>
  <si>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</si>
  <si>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</si>
  <si>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</si>
  <si>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</si>
  <si>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</si>
  <si>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</si>
  <si>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</si>
  <si>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</si>
  <si>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</si>
  <si>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</si>
  <si>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</si>
  <si>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</si>
  <si>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</si>
  <si>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</si>
  <si>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</si>
  <si>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</si>
  <si>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</si>
  <si>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</si>
  <si>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</si>
  <si>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</si>
  <si>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</si>
  <si>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</si>
  <si>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</si>
  <si>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</si>
  <si>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</si>
  <si>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</si>
  <si>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</si>
  <si>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</si>
  <si>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</si>
  <si>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</si>
  <si>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</si>
  <si>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</si>
  <si>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</si>
  <si>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</si>
  <si>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</si>
  <si>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</si>
  <si>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</si>
  <si>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</si>
  <si>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</si>
  <si>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</si>
  <si>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</si>
  <si>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</si>
  <si>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</si>
  <si>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</si>
  <si>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</si>
  <si>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</si>
  <si>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</si>
  <si>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</si>
  <si>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</si>
  <si>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</si>
  <si>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</si>
  <si>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</si>
  <si>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</si>
  <si>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</si>
  <si>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</si>
  <si>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</si>
  <si>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</si>
  <si>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</si>
  <si>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</si>
  <si>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</si>
  <si>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</si>
  <si>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</si>
  <si>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</si>
  <si>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</si>
  <si>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</si>
  <si>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</si>
  <si>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</si>
  <si>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</si>
  <si>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</si>
  <si>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</si>
  <si>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</si>
  <si>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</si>
  <si>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</si>
  <si>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</si>
  <si>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</si>
  <si>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</si>
  <si>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</si>
  <si>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</si>
  <si>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</si>
  <si>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</si>
  <si>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</si>
  <si>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</si>
  <si>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</si>
  <si>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</si>
  <si>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</si>
  <si>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</si>
  <si>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</si>
  <si>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</si>
  <si>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</si>
  <si>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</si>
  <si>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</si>
  <si>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</si>
  <si>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</si>
  <si>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</si>
  <si>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</si>
  <si>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</si>
  <si>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</si>
  <si>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</si>
  <si>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</si>
  <si>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</si>
  <si>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</si>
  <si>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</si>
  <si>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</si>
  <si>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</si>
  <si>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</si>
  <si>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</si>
  <si>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</si>
  <si>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</si>
  <si>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</si>
  <si>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</si>
  <si>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</si>
  <si>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</si>
  <si>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</si>
  <si>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</si>
  <si>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</si>
  <si>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</si>
  <si>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</si>
  <si>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</si>
  <si>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</si>
  <si>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</si>
  <si>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</si>
  <si>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</si>
  <si>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</si>
  <si>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</si>
  <si>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</si>
  <si>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</si>
  <si>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</si>
  <si>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</si>
  <si>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</si>
  <si>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</si>
  <si>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</si>
  <si>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</si>
  <si>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</si>
  <si>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</si>
  <si>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</si>
  <si>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</si>
  <si>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</si>
  <si>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</si>
  <si>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</si>
  <si>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</si>
  <si>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</si>
  <si>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</si>
  <si>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</si>
  <si>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</si>
  <si>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</si>
  <si>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</si>
  <si>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</si>
  <si>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</si>
  <si>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</si>
  <si>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</si>
  <si>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</si>
  <si>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</si>
  <si>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</si>
  <si>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</si>
  <si>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</si>
  <si>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</si>
  <si>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</si>
  <si>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</si>
  <si>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</si>
  <si>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</si>
  <si>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</si>
  <si>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</si>
  <si>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</si>
  <si>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</si>
  <si>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</si>
  <si>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</si>
  <si>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</si>
  <si>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</si>
  <si>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</si>
  <si>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</si>
  <si>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</si>
  <si>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</si>
  <si>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</si>
  <si>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</si>
  <si>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</si>
  <si>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</si>
  <si>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</si>
  <si>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</si>
  <si>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</si>
  <si>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</si>
  <si>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</si>
  <si>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</si>
  <si>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</si>
  <si>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</si>
  <si>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</si>
  <si>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</si>
  <si>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</si>
  <si>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</si>
  <si>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</si>
  <si>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</si>
  <si>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</si>
  <si>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</si>
  <si>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</si>
  <si>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</si>
  <si>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</si>
  <si>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</si>
  <si>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</si>
  <si>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</si>
  <si>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</si>
  <si>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</si>
  <si>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</si>
  <si>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</si>
  <si>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</si>
  <si>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</si>
  <si>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</si>
  <si>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</si>
  <si>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</si>
  <si>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</si>
  <si>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</si>
  <si>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</si>
  <si>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</si>
  <si>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</si>
  <si>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</si>
  <si>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</si>
  <si>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</si>
  <si>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</si>
  <si>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</si>
  <si>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</si>
  <si>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</si>
  <si>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</si>
  <si>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</si>
  <si>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</si>
  <si>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</si>
  <si>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</si>
  <si>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</si>
  <si>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</si>
  <si>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</si>
  <si>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</si>
  <si>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</si>
  <si>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</si>
  <si>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</si>
  <si>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</si>
  <si>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</si>
  <si>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</si>
  <si>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</si>
  <si>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</si>
  <si>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</si>
  <si>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</si>
  <si>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</si>
  <si>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</si>
  <si>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</si>
  <si>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</si>
  <si>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</si>
  <si>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</si>
  <si>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</si>
  <si>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</si>
  <si>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</si>
  <si>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</si>
  <si>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</si>
  <si>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</si>
  <si>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</si>
  <si>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</si>
  <si>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</si>
  <si>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</si>
  <si>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</si>
  <si>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</si>
  <si>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</si>
  <si>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</si>
  <si>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Laconia School District SAU 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</si>
</sst>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285</v>
      </c>
      <c r="C2" s="21">
        <v>285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7595.61</v>
      </c>
      <c r="G9" s="18">
        <v>400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1691827.06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931066.56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193921.09</v>
      </c>
      <c r="G13" s="18">
        <v>56927.25</v>
      </c>
      <c r="H13" s="18">
        <v>954236.78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11273.47</v>
      </c>
      <c r="G14" s="18">
        <v>413.92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21841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198635.82</v>
      </c>
      <c r="G17" s="18"/>
      <c r="H17" s="18">
        <v>5894.17</v>
      </c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10000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3044319.6100000003</v>
      </c>
      <c r="G19" s="41">
        <f>SUM(G9:G18)</f>
        <v>79582.17</v>
      </c>
      <c r="H19" s="41">
        <f>SUM(H9:H18)</f>
        <v>960130.95000000007</v>
      </c>
      <c r="I19" s="41">
        <f>SUM(I9:I18)</f>
        <v>0</v>
      </c>
      <c r="J19" s="41">
        <f>SUM(J9:J18)</f>
        <v>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70588.37</v>
      </c>
      <c r="H22" s="18">
        <v>860478.19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2721075.99</v>
      </c>
      <c r="G24" s="18">
        <v>6839.12</v>
      </c>
      <c r="H24" s="18">
        <v>34099.5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37950.89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65553.259999999995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285292.73</v>
      </c>
      <c r="G31" s="18">
        <v>2154.6799999999998</v>
      </c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3044319.6100000003</v>
      </c>
      <c r="G32" s="41">
        <f>SUM(G22:G31)</f>
        <v>79582.169999999984</v>
      </c>
      <c r="H32" s="41">
        <f>SUM(H22:H31)</f>
        <v>960130.95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/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0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3044319.6100000003</v>
      </c>
      <c r="G52" s="41">
        <f>G51+G32</f>
        <v>79582.169999999984</v>
      </c>
      <c r="H52" s="41">
        <f>H51+H32</f>
        <v>960130.95</v>
      </c>
      <c r="I52" s="41">
        <f>I51+I32</f>
        <v>0</v>
      </c>
      <c r="J52" s="41">
        <f>J51+J32</f>
        <v>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18724616.52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18724616.52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>
        <v>187895.52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2400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79704.759999999995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20838.64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387552.34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490495.74</v>
      </c>
      <c r="G79" s="45" t="s">
        <v>288</v>
      </c>
      <c r="H79" s="41">
        <f>SUM(H63:H78)</f>
        <v>187895.52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416844.52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5331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14005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13100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1214.46</v>
      </c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510.13</v>
      </c>
      <c r="G110" s="18"/>
      <c r="H110" s="18">
        <v>170993.73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21060.59</v>
      </c>
      <c r="G111" s="41">
        <f>SUM(G96:G110)</f>
        <v>416844.52</v>
      </c>
      <c r="H111" s="41">
        <f>SUM(H96:H110)</f>
        <v>184093.73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19236172.849999998</v>
      </c>
      <c r="G112" s="41">
        <f>G60+G111</f>
        <v>416844.52</v>
      </c>
      <c r="H112" s="41">
        <f>H60+H79+H94+H111</f>
        <v>371989.25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5953835.46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4462978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>
        <v>82407.61</v>
      </c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10416813.460000001</v>
      </c>
      <c r="G121" s="41">
        <f>SUM(G117:G120)</f>
        <v>82407.61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744010.8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108669.39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1021122.02</v>
      </c>
      <c r="G127" s="24" t="s">
        <v>288</v>
      </c>
      <c r="H127" s="18">
        <v>32761.02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15861.62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1873802.21</v>
      </c>
      <c r="G136" s="41">
        <f>SUM(G123:G135)</f>
        <v>15861.62</v>
      </c>
      <c r="H136" s="41">
        <f>SUM(H123:H135)</f>
        <v>32761.02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12290615.670000002</v>
      </c>
      <c r="G140" s="41">
        <f>G121+SUM(G136:G137)</f>
        <v>98269.23</v>
      </c>
      <c r="H140" s="41">
        <f>H121+SUM(H136:H139)</f>
        <v>32761.02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179878.09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>
        <v>463003.9</v>
      </c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1135871.25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1680714.96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163694.48000000001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310038.02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772131.96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528761.41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21335.3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528761.41</v>
      </c>
      <c r="G162" s="41">
        <f>SUM(G150:G161)</f>
        <v>772131.96</v>
      </c>
      <c r="H162" s="41">
        <f>SUM(H150:H161)</f>
        <v>3954536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528761.41</v>
      </c>
      <c r="G169" s="41">
        <f>G147+G162+SUM(G163:G168)</f>
        <v>772131.96</v>
      </c>
      <c r="H169" s="41">
        <f>H147+H162+SUM(H163:H168)</f>
        <v>3954536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>
        <v>480000</v>
      </c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480000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480000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32055549.93</v>
      </c>
      <c r="G193" s="47">
        <f>G112+G140+G169+G192</f>
        <v>1287245.71</v>
      </c>
      <c r="H193" s="47">
        <f>H112+H140+H169+H192</f>
        <v>4839286.2699999996</v>
      </c>
      <c r="I193" s="47">
        <f>I112+I140+I169+I192</f>
        <v>0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2724687.57</v>
      </c>
      <c r="G197" s="18">
        <v>1528531.97</v>
      </c>
      <c r="H197" s="18">
        <v>52317.55</v>
      </c>
      <c r="I197" s="18">
        <v>138013.94</v>
      </c>
      <c r="J197" s="18">
        <v>18369.02</v>
      </c>
      <c r="K197" s="18"/>
      <c r="L197" s="19">
        <f>SUM(F197:K197)</f>
        <v>4461920.05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1486841.81</v>
      </c>
      <c r="G198" s="18">
        <v>833820.89</v>
      </c>
      <c r="H198" s="18">
        <v>953743.02</v>
      </c>
      <c r="I198" s="18">
        <v>6254.01</v>
      </c>
      <c r="J198" s="18">
        <v>8780.24</v>
      </c>
      <c r="K198" s="18">
        <v>680</v>
      </c>
      <c r="L198" s="19">
        <f>SUM(F198:K198)</f>
        <v>3290119.97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9216.18</v>
      </c>
      <c r="G200" s="18">
        <v>5028.09</v>
      </c>
      <c r="H200" s="18"/>
      <c r="I200" s="18"/>
      <c r="J200" s="18"/>
      <c r="K200" s="18"/>
      <c r="L200" s="19">
        <f>SUM(F200:K200)</f>
        <v>14244.27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524802.54</v>
      </c>
      <c r="G202" s="18">
        <v>294141.83</v>
      </c>
      <c r="H202" s="18">
        <v>106213.88</v>
      </c>
      <c r="I202" s="18">
        <v>11254.05</v>
      </c>
      <c r="J202" s="18"/>
      <c r="K202" s="18"/>
      <c r="L202" s="19">
        <f t="shared" ref="L202:L208" si="0">SUM(F202:K202)</f>
        <v>936412.30000000016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232208.19</v>
      </c>
      <c r="G203" s="18">
        <v>170232.7</v>
      </c>
      <c r="H203" s="18">
        <v>65200.29</v>
      </c>
      <c r="I203" s="18">
        <v>57698.43</v>
      </c>
      <c r="J203" s="18">
        <v>77543.710000000006</v>
      </c>
      <c r="K203" s="18"/>
      <c r="L203" s="19">
        <f t="shared" si="0"/>
        <v>602883.31999999995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236706.09</v>
      </c>
      <c r="G204" s="18">
        <v>137896.70000000001</v>
      </c>
      <c r="H204" s="18">
        <v>83519.17</v>
      </c>
      <c r="I204" s="18">
        <v>5529.52</v>
      </c>
      <c r="J204" s="18"/>
      <c r="K204" s="18">
        <v>18049.099999999999</v>
      </c>
      <c r="L204" s="19">
        <f t="shared" si="0"/>
        <v>481700.58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548730.53</v>
      </c>
      <c r="G205" s="18">
        <v>313550</v>
      </c>
      <c r="H205" s="18">
        <v>22943.47</v>
      </c>
      <c r="I205" s="18">
        <v>4032.28</v>
      </c>
      <c r="J205" s="18"/>
      <c r="K205" s="18">
        <v>896.95</v>
      </c>
      <c r="L205" s="19">
        <f t="shared" si="0"/>
        <v>890153.23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117630.24</v>
      </c>
      <c r="G206" s="18">
        <v>68442.87</v>
      </c>
      <c r="H206" s="18">
        <v>73519.509999999995</v>
      </c>
      <c r="I206" s="18">
        <v>612.23</v>
      </c>
      <c r="J206" s="18">
        <v>1076.04</v>
      </c>
      <c r="K206" s="18"/>
      <c r="L206" s="19">
        <f t="shared" si="0"/>
        <v>261280.89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315606.18</v>
      </c>
      <c r="G207" s="18">
        <v>176820.3</v>
      </c>
      <c r="H207" s="18">
        <v>177443.12</v>
      </c>
      <c r="I207" s="18">
        <v>271928.90999999997</v>
      </c>
      <c r="J207" s="18">
        <v>2522.69</v>
      </c>
      <c r="K207" s="18"/>
      <c r="L207" s="19">
        <f t="shared" si="0"/>
        <v>944321.2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350044.33</v>
      </c>
      <c r="I208" s="18"/>
      <c r="J208" s="18"/>
      <c r="K208" s="18"/>
      <c r="L208" s="19">
        <f t="shared" si="0"/>
        <v>350044.33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6196429.3300000001</v>
      </c>
      <c r="G211" s="41">
        <f t="shared" si="1"/>
        <v>3528465.35</v>
      </c>
      <c r="H211" s="41">
        <f t="shared" si="1"/>
        <v>1884944.3400000003</v>
      </c>
      <c r="I211" s="41">
        <f t="shared" si="1"/>
        <v>495323.37</v>
      </c>
      <c r="J211" s="41">
        <f t="shared" si="1"/>
        <v>108291.7</v>
      </c>
      <c r="K211" s="41">
        <f t="shared" si="1"/>
        <v>19626.05</v>
      </c>
      <c r="L211" s="41">
        <f t="shared" si="1"/>
        <v>12233080.140000001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1862278.98</v>
      </c>
      <c r="G215" s="18">
        <v>1044161.64</v>
      </c>
      <c r="H215" s="18">
        <v>34216.06</v>
      </c>
      <c r="I215" s="18">
        <v>50227.33</v>
      </c>
      <c r="J215" s="18">
        <v>22701.68</v>
      </c>
      <c r="K215" s="18"/>
      <c r="L215" s="19">
        <f>SUM(F215:K215)</f>
        <v>3013585.6900000004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760272.4</v>
      </c>
      <c r="G216" s="18">
        <v>426547.58</v>
      </c>
      <c r="H216" s="18">
        <v>238956.62</v>
      </c>
      <c r="I216" s="18">
        <v>6510.06</v>
      </c>
      <c r="J216" s="18">
        <v>2754</v>
      </c>
      <c r="K216" s="18">
        <v>530</v>
      </c>
      <c r="L216" s="19">
        <f>SUM(F216:K216)</f>
        <v>1435570.6600000001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36635.589999999997</v>
      </c>
      <c r="G218" s="18">
        <v>20950.27</v>
      </c>
      <c r="H218" s="18">
        <v>10085</v>
      </c>
      <c r="I218" s="18">
        <v>4253.21</v>
      </c>
      <c r="J218" s="18"/>
      <c r="K218" s="18"/>
      <c r="L218" s="19">
        <f>SUM(F218:K218)</f>
        <v>71924.070000000007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191200</v>
      </c>
      <c r="G220" s="18">
        <v>107265.4</v>
      </c>
      <c r="H220" s="18">
        <v>37295.199999999997</v>
      </c>
      <c r="I220" s="18">
        <v>3777.76</v>
      </c>
      <c r="J220" s="18"/>
      <c r="K220" s="18"/>
      <c r="L220" s="19">
        <f t="shared" ref="L220:L226" si="2">SUM(F220:K220)</f>
        <v>339538.36000000004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128882.36</v>
      </c>
      <c r="G221" s="18">
        <v>88679.94</v>
      </c>
      <c r="H221" s="18">
        <v>23391.27</v>
      </c>
      <c r="I221" s="18">
        <v>29866.75</v>
      </c>
      <c r="J221" s="18">
        <v>70818.67</v>
      </c>
      <c r="K221" s="18"/>
      <c r="L221" s="19">
        <f t="shared" si="2"/>
        <v>341638.98999999993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81986.97</v>
      </c>
      <c r="G222" s="18">
        <v>48335.11</v>
      </c>
      <c r="H222" s="18">
        <v>33952.239999999998</v>
      </c>
      <c r="I222" s="18">
        <v>2276.86</v>
      </c>
      <c r="J222" s="18"/>
      <c r="K222" s="18">
        <v>7431.98</v>
      </c>
      <c r="L222" s="19">
        <f t="shared" si="2"/>
        <v>173983.16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246226.25</v>
      </c>
      <c r="G223" s="18">
        <v>140271.81</v>
      </c>
      <c r="H223" s="18">
        <v>18460.88</v>
      </c>
      <c r="I223" s="18">
        <v>320.68</v>
      </c>
      <c r="J223" s="18"/>
      <c r="K223" s="18">
        <v>1919</v>
      </c>
      <c r="L223" s="19">
        <f t="shared" si="2"/>
        <v>407198.62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47504.52</v>
      </c>
      <c r="G224" s="18">
        <v>27236.35</v>
      </c>
      <c r="H224" s="18">
        <v>30342.44</v>
      </c>
      <c r="I224" s="18">
        <v>252.1</v>
      </c>
      <c r="J224" s="18">
        <v>461.15</v>
      </c>
      <c r="K224" s="18"/>
      <c r="L224" s="19">
        <f t="shared" si="2"/>
        <v>105796.56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203522.72</v>
      </c>
      <c r="G225" s="18">
        <v>113969.49</v>
      </c>
      <c r="H225" s="18">
        <v>116226.11</v>
      </c>
      <c r="I225" s="18">
        <v>204753.98</v>
      </c>
      <c r="J225" s="18">
        <v>3816.8</v>
      </c>
      <c r="K225" s="18"/>
      <c r="L225" s="19">
        <f t="shared" si="2"/>
        <v>642289.10000000009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135883.42000000001</v>
      </c>
      <c r="I226" s="18"/>
      <c r="J226" s="18"/>
      <c r="K226" s="18"/>
      <c r="L226" s="19">
        <f t="shared" si="2"/>
        <v>135883.42000000001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3558509.79</v>
      </c>
      <c r="G229" s="41">
        <f>SUM(G215:G228)</f>
        <v>2017417.59</v>
      </c>
      <c r="H229" s="41">
        <f>SUM(H215:H228)</f>
        <v>678809.24000000011</v>
      </c>
      <c r="I229" s="41">
        <f>SUM(I215:I228)</f>
        <v>302238.73</v>
      </c>
      <c r="J229" s="41">
        <f>SUM(J215:J228)</f>
        <v>100552.3</v>
      </c>
      <c r="K229" s="41">
        <f t="shared" si="3"/>
        <v>9880.98</v>
      </c>
      <c r="L229" s="41">
        <f t="shared" si="3"/>
        <v>6667408.6300000008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1980586.75</v>
      </c>
      <c r="G233" s="18">
        <v>1111202.51</v>
      </c>
      <c r="H233" s="18">
        <v>53644.98</v>
      </c>
      <c r="I233" s="18">
        <v>99820.85</v>
      </c>
      <c r="J233" s="18">
        <v>25903.74</v>
      </c>
      <c r="K233" s="18"/>
      <c r="L233" s="19">
        <f>SUM(F233:K233)</f>
        <v>3271158.83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784744.6</v>
      </c>
      <c r="G234" s="18">
        <v>441955.75</v>
      </c>
      <c r="H234" s="18">
        <v>458752.34</v>
      </c>
      <c r="I234" s="18">
        <v>1961.89</v>
      </c>
      <c r="J234" s="18">
        <v>3502.01</v>
      </c>
      <c r="K234" s="18">
        <v>530</v>
      </c>
      <c r="L234" s="19">
        <f>SUM(F234:K234)</f>
        <v>1691446.59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907886.96</v>
      </c>
      <c r="G235" s="18">
        <v>511460.67</v>
      </c>
      <c r="H235" s="18">
        <v>25241.09</v>
      </c>
      <c r="I235" s="18">
        <v>45701.96</v>
      </c>
      <c r="J235" s="18">
        <v>1306.78</v>
      </c>
      <c r="K235" s="18">
        <v>250.31</v>
      </c>
      <c r="L235" s="19">
        <f>SUM(F235:K235)</f>
        <v>1491847.77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151123.07</v>
      </c>
      <c r="G236" s="18">
        <v>84639.11</v>
      </c>
      <c r="H236" s="18">
        <v>77529</v>
      </c>
      <c r="I236" s="18">
        <v>9355.76</v>
      </c>
      <c r="J236" s="18"/>
      <c r="K236" s="18"/>
      <c r="L236" s="19">
        <f>SUM(F236:K236)</f>
        <v>322646.94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207357.91</v>
      </c>
      <c r="G238" s="18">
        <v>116483.51</v>
      </c>
      <c r="H238" s="18">
        <v>44031.97</v>
      </c>
      <c r="I238" s="18">
        <v>2924.45</v>
      </c>
      <c r="J238" s="18"/>
      <c r="K238" s="18">
        <v>170</v>
      </c>
      <c r="L238" s="19">
        <f t="shared" ref="L238:L244" si="4">SUM(F238:K238)</f>
        <v>370967.84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130862.33</v>
      </c>
      <c r="G239" s="18">
        <v>95892.97</v>
      </c>
      <c r="H239" s="18">
        <v>34527.800000000003</v>
      </c>
      <c r="I239" s="18">
        <v>42247.61</v>
      </c>
      <c r="J239" s="18">
        <v>49553.43</v>
      </c>
      <c r="K239" s="18"/>
      <c r="L239" s="19">
        <f t="shared" si="4"/>
        <v>353084.13999999996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225683.1</v>
      </c>
      <c r="G240" s="18">
        <v>129492.33</v>
      </c>
      <c r="H240" s="18">
        <v>45269.67</v>
      </c>
      <c r="I240" s="18">
        <v>3035.81</v>
      </c>
      <c r="J240" s="18"/>
      <c r="K240" s="18">
        <v>9909.32</v>
      </c>
      <c r="L240" s="19">
        <f t="shared" si="4"/>
        <v>413390.23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318484.71000000002</v>
      </c>
      <c r="G241" s="18">
        <v>178496.34</v>
      </c>
      <c r="H241" s="18">
        <v>24969.69</v>
      </c>
      <c r="I241" s="18">
        <v>2037</v>
      </c>
      <c r="J241" s="18"/>
      <c r="K241" s="18">
        <v>7924.15</v>
      </c>
      <c r="L241" s="19">
        <f t="shared" si="4"/>
        <v>531911.89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61077.24</v>
      </c>
      <c r="G242" s="18">
        <v>34898.43</v>
      </c>
      <c r="H242" s="18">
        <v>40411.589999999997</v>
      </c>
      <c r="I242" s="18">
        <v>336.13</v>
      </c>
      <c r="J242" s="18">
        <v>658.8</v>
      </c>
      <c r="K242" s="18"/>
      <c r="L242" s="19">
        <f t="shared" si="4"/>
        <v>137382.19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258476.09</v>
      </c>
      <c r="G243" s="18">
        <v>144975.89000000001</v>
      </c>
      <c r="H243" s="18">
        <v>201577.78</v>
      </c>
      <c r="I243" s="18">
        <v>304662.63</v>
      </c>
      <c r="J243" s="18">
        <v>5155.1099999999997</v>
      </c>
      <c r="K243" s="18"/>
      <c r="L243" s="19">
        <f t="shared" si="4"/>
        <v>914847.5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220104.42</v>
      </c>
      <c r="I244" s="18"/>
      <c r="J244" s="18"/>
      <c r="K244" s="18"/>
      <c r="L244" s="19">
        <f t="shared" si="4"/>
        <v>220104.42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5026282.76</v>
      </c>
      <c r="G247" s="41">
        <f t="shared" si="5"/>
        <v>2849497.5100000002</v>
      </c>
      <c r="H247" s="41">
        <f t="shared" si="5"/>
        <v>1226060.33</v>
      </c>
      <c r="I247" s="41">
        <f t="shared" si="5"/>
        <v>512084.09</v>
      </c>
      <c r="J247" s="41">
        <f t="shared" si="5"/>
        <v>86079.87</v>
      </c>
      <c r="K247" s="41">
        <f t="shared" si="5"/>
        <v>18783.78</v>
      </c>
      <c r="L247" s="41">
        <f t="shared" si="5"/>
        <v>9718788.3399999999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159358.18</v>
      </c>
      <c r="G251" s="18">
        <v>91667.18</v>
      </c>
      <c r="H251" s="18">
        <v>4990.6499999999996</v>
      </c>
      <c r="I251" s="18">
        <v>10555.55</v>
      </c>
      <c r="J251" s="18">
        <v>2000</v>
      </c>
      <c r="K251" s="18">
        <v>3066.75</v>
      </c>
      <c r="L251" s="19">
        <f t="shared" si="6"/>
        <v>271638.31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125000</v>
      </c>
      <c r="I255" s="18"/>
      <c r="J255" s="18"/>
      <c r="K255" s="18"/>
      <c r="L255" s="19">
        <f t="shared" si="6"/>
        <v>125000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159358.18</v>
      </c>
      <c r="G256" s="41">
        <f t="shared" si="7"/>
        <v>91667.18</v>
      </c>
      <c r="H256" s="41">
        <f t="shared" si="7"/>
        <v>129990.65</v>
      </c>
      <c r="I256" s="41">
        <f t="shared" si="7"/>
        <v>10555.55</v>
      </c>
      <c r="J256" s="41">
        <f t="shared" si="7"/>
        <v>2000</v>
      </c>
      <c r="K256" s="41">
        <f t="shared" si="7"/>
        <v>3066.75</v>
      </c>
      <c r="L256" s="41">
        <f>SUM(F256:K256)</f>
        <v>396638.31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14940580.060000001</v>
      </c>
      <c r="G257" s="41">
        <f t="shared" si="8"/>
        <v>8487047.6300000008</v>
      </c>
      <c r="H257" s="41">
        <f t="shared" si="8"/>
        <v>3919804.5600000005</v>
      </c>
      <c r="I257" s="41">
        <f t="shared" si="8"/>
        <v>1320201.74</v>
      </c>
      <c r="J257" s="41">
        <f t="shared" si="8"/>
        <v>296923.87</v>
      </c>
      <c r="K257" s="41">
        <f t="shared" si="8"/>
        <v>51357.56</v>
      </c>
      <c r="L257" s="41">
        <f t="shared" si="8"/>
        <v>29015915.420000002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1863833.58</v>
      </c>
      <c r="L260" s="19">
        <f>SUM(F260:K260)</f>
        <v>1863833.58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695800.93</v>
      </c>
      <c r="L261" s="19">
        <f>SUM(F261:K261)</f>
        <v>695800.93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480000</v>
      </c>
      <c r="L264" s="19">
        <f t="shared" ref="L264:L270" si="9">SUM(F264:K264)</f>
        <v>480000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3039634.5100000002</v>
      </c>
      <c r="L270" s="41">
        <f t="shared" si="9"/>
        <v>3039634.5100000002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14940580.060000001</v>
      </c>
      <c r="G271" s="42">
        <f t="shared" si="11"/>
        <v>8487047.6300000008</v>
      </c>
      <c r="H271" s="42">
        <f t="shared" si="11"/>
        <v>3919804.5600000005</v>
      </c>
      <c r="I271" s="42">
        <f t="shared" si="11"/>
        <v>1320201.74</v>
      </c>
      <c r="J271" s="42">
        <f t="shared" si="11"/>
        <v>296923.87</v>
      </c>
      <c r="K271" s="42">
        <f t="shared" si="11"/>
        <v>3090992.0700000003</v>
      </c>
      <c r="L271" s="42">
        <f t="shared" si="11"/>
        <v>32055549.930000003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769396.15</v>
      </c>
      <c r="G276" s="18">
        <v>167313.01</v>
      </c>
      <c r="H276" s="18">
        <v>87425.279999999999</v>
      </c>
      <c r="I276" s="18">
        <v>58907.34</v>
      </c>
      <c r="J276" s="18">
        <v>25894.16</v>
      </c>
      <c r="K276" s="18"/>
      <c r="L276" s="19">
        <f>SUM(F276:K276)</f>
        <v>1108935.94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207642.66</v>
      </c>
      <c r="G277" s="18">
        <v>103710.06</v>
      </c>
      <c r="H277" s="18">
        <v>4255.97</v>
      </c>
      <c r="I277" s="18">
        <v>2421.54</v>
      </c>
      <c r="J277" s="18">
        <v>4613.93</v>
      </c>
      <c r="K277" s="18"/>
      <c r="L277" s="19">
        <f>SUM(F277:K277)</f>
        <v>322644.15999999992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51948.480000000003</v>
      </c>
      <c r="G281" s="18">
        <v>10372.870000000001</v>
      </c>
      <c r="H281" s="18">
        <v>14319.79</v>
      </c>
      <c r="I281" s="18">
        <v>1662.36</v>
      </c>
      <c r="J281" s="18"/>
      <c r="K281" s="18">
        <v>1430.47</v>
      </c>
      <c r="L281" s="19">
        <f t="shared" ref="L281:L287" si="12">SUM(F281:K281)</f>
        <v>79733.970000000016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279988.28000000003</v>
      </c>
      <c r="G282" s="18">
        <v>62801.31</v>
      </c>
      <c r="H282" s="18">
        <v>220928.47</v>
      </c>
      <c r="I282" s="18">
        <v>18611.52</v>
      </c>
      <c r="J282" s="18">
        <v>780</v>
      </c>
      <c r="K282" s="18">
        <v>1808.34</v>
      </c>
      <c r="L282" s="19">
        <f t="shared" si="12"/>
        <v>584917.92000000004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23361.88</v>
      </c>
      <c r="G283" s="18">
        <v>10916.38</v>
      </c>
      <c r="H283" s="18">
        <v>82192.94</v>
      </c>
      <c r="I283" s="18">
        <v>29782.29</v>
      </c>
      <c r="J283" s="18"/>
      <c r="K283" s="18">
        <v>1231.77</v>
      </c>
      <c r="L283" s="19">
        <f t="shared" si="12"/>
        <v>147485.26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11890.35</v>
      </c>
      <c r="I287" s="18"/>
      <c r="J287" s="18"/>
      <c r="K287" s="18"/>
      <c r="L287" s="19">
        <f t="shared" si="12"/>
        <v>11890.35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1332337.45</v>
      </c>
      <c r="G290" s="42">
        <f t="shared" si="13"/>
        <v>355113.63</v>
      </c>
      <c r="H290" s="42">
        <f t="shared" si="13"/>
        <v>421012.8</v>
      </c>
      <c r="I290" s="42">
        <f t="shared" si="13"/>
        <v>111385.04999999999</v>
      </c>
      <c r="J290" s="42">
        <f t="shared" si="13"/>
        <v>31288.09</v>
      </c>
      <c r="K290" s="42">
        <f t="shared" si="13"/>
        <v>4470.58</v>
      </c>
      <c r="L290" s="41">
        <f t="shared" si="13"/>
        <v>2255607.6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81415.600000000006</v>
      </c>
      <c r="G295" s="18">
        <v>59875.64</v>
      </c>
      <c r="H295" s="18">
        <v>2369.9499999999998</v>
      </c>
      <c r="I295" s="18">
        <v>21555.08</v>
      </c>
      <c r="J295" s="18">
        <v>839.99</v>
      </c>
      <c r="K295" s="18"/>
      <c r="L295" s="19">
        <f>SUM(F295:K295)</f>
        <v>166056.26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73302.59</v>
      </c>
      <c r="G296" s="18">
        <v>41661.07</v>
      </c>
      <c r="H296" s="18">
        <v>1718.76</v>
      </c>
      <c r="I296" s="18">
        <v>977.93</v>
      </c>
      <c r="J296" s="18">
        <v>1863.33</v>
      </c>
      <c r="K296" s="18"/>
      <c r="L296" s="19">
        <f>SUM(F296:K296)</f>
        <v>119523.68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19546.189999999999</v>
      </c>
      <c r="G300" s="18">
        <v>4189.03</v>
      </c>
      <c r="H300" s="18">
        <v>5896.17</v>
      </c>
      <c r="I300" s="18">
        <v>671.33</v>
      </c>
      <c r="J300" s="18"/>
      <c r="K300" s="18">
        <v>587.87</v>
      </c>
      <c r="L300" s="19">
        <f t="shared" ref="L300:L306" si="14">SUM(F300:K300)</f>
        <v>30890.59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99629.81</v>
      </c>
      <c r="G301" s="18">
        <v>25373.02</v>
      </c>
      <c r="H301" s="18">
        <v>74833.119999999995</v>
      </c>
      <c r="I301" s="18">
        <v>6362.85</v>
      </c>
      <c r="J301" s="18">
        <v>315</v>
      </c>
      <c r="K301" s="18">
        <v>730.29</v>
      </c>
      <c r="L301" s="19">
        <f t="shared" si="14"/>
        <v>207244.09000000003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9619.61</v>
      </c>
      <c r="G302" s="18">
        <v>4494.9799999999996</v>
      </c>
      <c r="H302" s="18">
        <v>33844.14</v>
      </c>
      <c r="I302" s="18">
        <v>12211.43</v>
      </c>
      <c r="J302" s="18"/>
      <c r="K302" s="18">
        <v>507.2</v>
      </c>
      <c r="L302" s="19">
        <f t="shared" si="14"/>
        <v>60677.359999999993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v>4801.87</v>
      </c>
      <c r="I306" s="18"/>
      <c r="J306" s="18"/>
      <c r="K306" s="18"/>
      <c r="L306" s="19">
        <f t="shared" si="14"/>
        <v>4801.87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283513.8</v>
      </c>
      <c r="G309" s="42">
        <f t="shared" si="15"/>
        <v>135593.74</v>
      </c>
      <c r="H309" s="42">
        <f t="shared" si="15"/>
        <v>123464.01</v>
      </c>
      <c r="I309" s="42">
        <f t="shared" si="15"/>
        <v>41778.620000000003</v>
      </c>
      <c r="J309" s="42">
        <f t="shared" si="15"/>
        <v>3018.3199999999997</v>
      </c>
      <c r="K309" s="42">
        <f t="shared" si="15"/>
        <v>1825.36</v>
      </c>
      <c r="L309" s="41">
        <f t="shared" si="15"/>
        <v>589193.85000000009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232474.75</v>
      </c>
      <c r="G314" s="18">
        <v>143380.51999999999</v>
      </c>
      <c r="H314" s="18">
        <v>18617.349999999999</v>
      </c>
      <c r="I314" s="18">
        <v>32431.39</v>
      </c>
      <c r="J314" s="18">
        <v>1050.8900000000001</v>
      </c>
      <c r="K314" s="18"/>
      <c r="L314" s="19">
        <f>SUM(F314:K314)</f>
        <v>427954.9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99246.18</v>
      </c>
      <c r="G315" s="18">
        <v>53564.24</v>
      </c>
      <c r="H315" s="18">
        <v>2209.83</v>
      </c>
      <c r="I315" s="18">
        <v>1257.3399999999999</v>
      </c>
      <c r="J315" s="18">
        <v>2395.69</v>
      </c>
      <c r="K315" s="18"/>
      <c r="L315" s="19">
        <f>SUM(F315:K315)</f>
        <v>158673.27999999997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45746.82</v>
      </c>
      <c r="G316" s="18">
        <v>13053.93</v>
      </c>
      <c r="H316" s="18">
        <v>60082.879999999997</v>
      </c>
      <c r="I316" s="18">
        <v>21627.21</v>
      </c>
      <c r="J316" s="18">
        <v>41790.22</v>
      </c>
      <c r="K316" s="18">
        <v>1500</v>
      </c>
      <c r="L316" s="19">
        <f>SUM(F316:K316)</f>
        <v>183801.06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25130.81</v>
      </c>
      <c r="G319" s="18">
        <v>5385.91</v>
      </c>
      <c r="H319" s="18">
        <v>14083.19</v>
      </c>
      <c r="I319" s="18">
        <v>863.15</v>
      </c>
      <c r="J319" s="18"/>
      <c r="K319" s="18">
        <v>781.04</v>
      </c>
      <c r="L319" s="19">
        <f t="shared" ref="L319:L325" si="16">SUM(F319:K319)</f>
        <v>46244.100000000006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135135.54</v>
      </c>
      <c r="G320" s="18">
        <v>32798.82</v>
      </c>
      <c r="H320" s="18">
        <v>96286.78</v>
      </c>
      <c r="I320" s="18">
        <v>8688.64</v>
      </c>
      <c r="J320" s="18">
        <v>818.32</v>
      </c>
      <c r="K320" s="18">
        <v>938.94</v>
      </c>
      <c r="L320" s="19">
        <f t="shared" si="16"/>
        <v>274667.04000000004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12826.13</v>
      </c>
      <c r="G321" s="18">
        <v>5993.3</v>
      </c>
      <c r="H321" s="18">
        <v>52154.26</v>
      </c>
      <c r="I321" s="18">
        <v>16650.88</v>
      </c>
      <c r="J321" s="18"/>
      <c r="K321" s="18">
        <v>676.27</v>
      </c>
      <c r="L321" s="19">
        <f t="shared" si="16"/>
        <v>88300.840000000011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>
        <v>5455.78</v>
      </c>
      <c r="I324" s="18"/>
      <c r="J324" s="18"/>
      <c r="K324" s="18"/>
      <c r="L324" s="19">
        <f t="shared" si="16"/>
        <v>5455.78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381.22</v>
      </c>
      <c r="G325" s="18">
        <v>29.16</v>
      </c>
      <c r="H325" s="18">
        <v>6914.31</v>
      </c>
      <c r="I325" s="18">
        <v>1135.67</v>
      </c>
      <c r="J325" s="18"/>
      <c r="K325" s="18"/>
      <c r="L325" s="19">
        <f t="shared" si="16"/>
        <v>8460.36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550941.44999999995</v>
      </c>
      <c r="G328" s="42">
        <f t="shared" si="17"/>
        <v>254205.87999999998</v>
      </c>
      <c r="H328" s="42">
        <f t="shared" si="17"/>
        <v>255804.38</v>
      </c>
      <c r="I328" s="42">
        <f t="shared" si="17"/>
        <v>82654.28</v>
      </c>
      <c r="J328" s="42">
        <f t="shared" si="17"/>
        <v>46055.12</v>
      </c>
      <c r="K328" s="42">
        <f t="shared" si="17"/>
        <v>3896.25</v>
      </c>
      <c r="L328" s="41">
        <f t="shared" si="17"/>
        <v>1193557.3600000001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>
        <v>10039.44</v>
      </c>
      <c r="I332" s="18"/>
      <c r="J332" s="18"/>
      <c r="K332" s="18"/>
      <c r="L332" s="19">
        <f t="shared" ref="L332:L337" si="18">SUM(F332:K332)</f>
        <v>10039.44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202124.71</v>
      </c>
      <c r="G333" s="18">
        <v>20263.37</v>
      </c>
      <c r="H333" s="18">
        <v>32338.21</v>
      </c>
      <c r="I333" s="18">
        <v>55966.73</v>
      </c>
      <c r="J333" s="18"/>
      <c r="K333" s="18">
        <v>195</v>
      </c>
      <c r="L333" s="19">
        <f t="shared" si="18"/>
        <v>310888.01999999996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202124.71</v>
      </c>
      <c r="G337" s="41">
        <f t="shared" si="19"/>
        <v>20263.37</v>
      </c>
      <c r="H337" s="41">
        <f t="shared" si="19"/>
        <v>42377.65</v>
      </c>
      <c r="I337" s="41">
        <f t="shared" si="19"/>
        <v>55966.73</v>
      </c>
      <c r="J337" s="41">
        <f t="shared" si="19"/>
        <v>0</v>
      </c>
      <c r="K337" s="41">
        <f t="shared" si="19"/>
        <v>195</v>
      </c>
      <c r="L337" s="41">
        <f t="shared" si="18"/>
        <v>320927.45999999996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2368917.41</v>
      </c>
      <c r="G338" s="41">
        <f t="shared" si="20"/>
        <v>765176.62</v>
      </c>
      <c r="H338" s="41">
        <f t="shared" si="20"/>
        <v>842658.84</v>
      </c>
      <c r="I338" s="41">
        <f t="shared" si="20"/>
        <v>291784.68</v>
      </c>
      <c r="J338" s="41">
        <f t="shared" si="20"/>
        <v>80361.53</v>
      </c>
      <c r="K338" s="41">
        <f t="shared" si="20"/>
        <v>10387.189999999999</v>
      </c>
      <c r="L338" s="41">
        <f t="shared" si="20"/>
        <v>4359286.2700000005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480000</v>
      </c>
      <c r="L344" s="19">
        <f t="shared" ref="L344:L350" si="21">SUM(F344:K344)</f>
        <v>480000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480000</v>
      </c>
      <c r="L351" s="41">
        <f>SUM(L341:L350)</f>
        <v>480000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2368917.41</v>
      </c>
      <c r="G352" s="41">
        <f>G338</f>
        <v>765176.62</v>
      </c>
      <c r="H352" s="41">
        <f>H338</f>
        <v>842658.84</v>
      </c>
      <c r="I352" s="41">
        <f>I338</f>
        <v>291784.68</v>
      </c>
      <c r="J352" s="41">
        <f>J338</f>
        <v>80361.53</v>
      </c>
      <c r="K352" s="47">
        <f>K338+K351</f>
        <v>490387.19</v>
      </c>
      <c r="L352" s="41">
        <f>L338+L351</f>
        <v>4839286.2700000005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236955.84</v>
      </c>
      <c r="G358" s="18">
        <v>50542.12</v>
      </c>
      <c r="H358" s="18">
        <v>20077.89</v>
      </c>
      <c r="I358" s="18">
        <v>323216.73</v>
      </c>
      <c r="J358" s="18">
        <v>2091.75</v>
      </c>
      <c r="K358" s="18"/>
      <c r="L358" s="13">
        <f>SUM(F358:K358)</f>
        <v>632884.33000000007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136418.56</v>
      </c>
      <c r="G359" s="18">
        <v>30027.56</v>
      </c>
      <c r="H359" s="18">
        <v>2194.16</v>
      </c>
      <c r="I359" s="18">
        <v>137815.13</v>
      </c>
      <c r="J359" s="18">
        <v>183.09</v>
      </c>
      <c r="K359" s="18"/>
      <c r="L359" s="19">
        <f>SUM(F359:K359)</f>
        <v>306638.50000000006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114506.69</v>
      </c>
      <c r="G360" s="18">
        <v>26908.68</v>
      </c>
      <c r="H360" s="18">
        <v>4754.32</v>
      </c>
      <c r="I360" s="18">
        <v>169991.9</v>
      </c>
      <c r="J360" s="18">
        <v>31561.29</v>
      </c>
      <c r="K360" s="18"/>
      <c r="L360" s="19">
        <f>SUM(F360:K360)</f>
        <v>347722.87999999995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487881.09</v>
      </c>
      <c r="G362" s="47">
        <f t="shared" si="22"/>
        <v>107478.36000000002</v>
      </c>
      <c r="H362" s="47">
        <f t="shared" si="22"/>
        <v>27026.37</v>
      </c>
      <c r="I362" s="47">
        <f t="shared" si="22"/>
        <v>631023.76</v>
      </c>
      <c r="J362" s="47">
        <f t="shared" si="22"/>
        <v>33836.130000000005</v>
      </c>
      <c r="K362" s="47">
        <f t="shared" si="22"/>
        <v>0</v>
      </c>
      <c r="L362" s="47">
        <f t="shared" si="22"/>
        <v>1287245.71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155942.43+73221.03+71899.03</f>
        <v>301062.49</v>
      </c>
      <c r="G367" s="18">
        <v>124427.6</v>
      </c>
      <c r="H367" s="18">
        <v>155292.84</v>
      </c>
      <c r="I367" s="56">
        <f>SUM(F367:H367)</f>
        <v>580782.92999999993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11088.76+4681.63+6383.85</f>
        <v>22154.239999999998</v>
      </c>
      <c r="G368" s="63">
        <v>13387.53</v>
      </c>
      <c r="H368" s="63">
        <v>14699.06</v>
      </c>
      <c r="I368" s="56">
        <f>SUM(F368:H368)</f>
        <v>50240.829999999994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323216.73</v>
      </c>
      <c r="G369" s="47">
        <f>SUM(G367:G368)</f>
        <v>137815.13</v>
      </c>
      <c r="H369" s="47">
        <f>SUM(H367:H368)</f>
        <v>169991.9</v>
      </c>
      <c r="I369" s="47">
        <f>SUM(I367:I368)</f>
        <v>631023.75999999989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/>
      <c r="G465" s="18"/>
      <c r="H465" s="18"/>
      <c r="I465" s="18"/>
      <c r="J465" s="18"/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 t="shared" ref="F468:G468" si="35">F193</f>
        <v>32055549.93</v>
      </c>
      <c r="G468" s="18">
        <f t="shared" si="35"/>
        <v>1287245.71</v>
      </c>
      <c r="H468" s="18">
        <f>H193</f>
        <v>4839286.2699999996</v>
      </c>
      <c r="I468" s="18"/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32055549.93</v>
      </c>
      <c r="G470" s="53">
        <f>SUM(G468:G469)</f>
        <v>1287245.71</v>
      </c>
      <c r="H470" s="53">
        <f>SUM(H468:H469)</f>
        <v>4839286.2699999996</v>
      </c>
      <c r="I470" s="53">
        <f>SUM(I468:I469)</f>
        <v>0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32055549.930000003</v>
      </c>
      <c r="G472" s="18">
        <f>L362</f>
        <v>1287245.71</v>
      </c>
      <c r="H472" s="18">
        <f>L352</f>
        <v>4839286.2700000005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32055549.930000003</v>
      </c>
      <c r="G474" s="53">
        <f>SUM(G472:G473)</f>
        <v>1287245.71</v>
      </c>
      <c r="H474" s="53">
        <f>SUM(H472:H473)</f>
        <v>4839286.2700000005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0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F198-F531+F277</f>
        <v>1616484.47</v>
      </c>
      <c r="G521" s="18">
        <f t="shared" ref="G521:J521" si="37">G198-G531+G277</f>
        <v>893850.95</v>
      </c>
      <c r="H521" s="18">
        <f t="shared" si="37"/>
        <v>957998.99</v>
      </c>
      <c r="I521" s="18">
        <f t="shared" si="37"/>
        <v>8675.5499999999993</v>
      </c>
      <c r="J521" s="18">
        <f t="shared" si="37"/>
        <v>13394.17</v>
      </c>
      <c r="K521" s="18"/>
      <c r="L521" s="88">
        <f>SUM(F521:K521)</f>
        <v>3490404.13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F216-F532+F296</f>
        <v>749282.99</v>
      </c>
      <c r="G522" s="18">
        <f t="shared" ref="G522:J522" si="38">G216-G532+G296</f>
        <v>421005.13</v>
      </c>
      <c r="H522" s="18">
        <f t="shared" si="38"/>
        <v>239176.68</v>
      </c>
      <c r="I522" s="18">
        <f t="shared" si="38"/>
        <v>7487.9900000000007</v>
      </c>
      <c r="J522" s="18">
        <f t="shared" si="38"/>
        <v>4617.33</v>
      </c>
      <c r="K522" s="18"/>
      <c r="L522" s="88">
        <f>SUM(F522:K522)</f>
        <v>1421570.12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F234-F533+F315</f>
        <v>842971.78</v>
      </c>
      <c r="G523" s="18">
        <f t="shared" ref="G523:J523" si="39">G234-G533+G315</f>
        <v>472549.35</v>
      </c>
      <c r="H523" s="18">
        <f t="shared" si="39"/>
        <v>459422.17000000004</v>
      </c>
      <c r="I523" s="18">
        <f t="shared" si="39"/>
        <v>3219.23</v>
      </c>
      <c r="J523" s="18">
        <f t="shared" si="39"/>
        <v>5897.7000000000007</v>
      </c>
      <c r="K523" s="18"/>
      <c r="L523" s="88">
        <f>SUM(F523:K523)</f>
        <v>1784060.2299999997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3208739.24</v>
      </c>
      <c r="G524" s="108">
        <f t="shared" ref="G524:L524" si="40">SUM(G521:G523)</f>
        <v>1787405.4300000002</v>
      </c>
      <c r="H524" s="108">
        <f t="shared" si="40"/>
        <v>1656597.8399999999</v>
      </c>
      <c r="I524" s="108">
        <f t="shared" si="40"/>
        <v>19382.77</v>
      </c>
      <c r="J524" s="108">
        <f t="shared" si="40"/>
        <v>23909.200000000001</v>
      </c>
      <c r="K524" s="108">
        <f t="shared" si="40"/>
        <v>0</v>
      </c>
      <c r="L524" s="89">
        <f t="shared" si="40"/>
        <v>6696034.4799999995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187858.74</v>
      </c>
      <c r="G526" s="18">
        <f>F526*0.56</f>
        <v>105200.8944</v>
      </c>
      <c r="H526" s="18">
        <v>93038.33</v>
      </c>
      <c r="I526" s="18">
        <v>4382.13</v>
      </c>
      <c r="J526" s="18"/>
      <c r="K526" s="18"/>
      <c r="L526" s="88">
        <f>SUM(F526:K526)</f>
        <v>390480.0944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41189</v>
      </c>
      <c r="G527" s="18">
        <f t="shared" ref="G527:G528" si="41">F527*0.56</f>
        <v>23065.840000000004</v>
      </c>
      <c r="H527" s="18">
        <v>31368.33</v>
      </c>
      <c r="I527" s="18">
        <v>1527.59</v>
      </c>
      <c r="J527" s="18"/>
      <c r="K527" s="18"/>
      <c r="L527" s="88">
        <f>SUM(F527:K527)</f>
        <v>97150.760000000009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27459</v>
      </c>
      <c r="G528" s="18">
        <f t="shared" si="41"/>
        <v>15377.04</v>
      </c>
      <c r="H528" s="18">
        <v>31602.880000000001</v>
      </c>
      <c r="I528" s="18">
        <v>1566.57</v>
      </c>
      <c r="J528" s="18"/>
      <c r="K528" s="18"/>
      <c r="L528" s="88">
        <f>SUM(F528:K528)</f>
        <v>76005.490000000005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256506.74</v>
      </c>
      <c r="G529" s="89">
        <f t="shared" ref="G529:L529" si="42">SUM(G526:G528)</f>
        <v>143643.77440000002</v>
      </c>
      <c r="H529" s="89">
        <f t="shared" si="42"/>
        <v>156009.54</v>
      </c>
      <c r="I529" s="89">
        <f t="shared" si="42"/>
        <v>7476.29</v>
      </c>
      <c r="J529" s="89">
        <f t="shared" si="42"/>
        <v>0</v>
      </c>
      <c r="K529" s="89">
        <f t="shared" si="42"/>
        <v>0</v>
      </c>
      <c r="L529" s="89">
        <f t="shared" si="42"/>
        <v>563636.34440000006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78000</v>
      </c>
      <c r="G531" s="18">
        <f>F531*0.56</f>
        <v>43680.000000000007</v>
      </c>
      <c r="H531" s="18">
        <v>0</v>
      </c>
      <c r="I531" s="18"/>
      <c r="J531" s="18"/>
      <c r="K531" s="18">
        <v>680</v>
      </c>
      <c r="L531" s="88">
        <f>SUM(F531:K531)</f>
        <v>122360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84292</v>
      </c>
      <c r="G532" s="18">
        <f t="shared" ref="G532:G533" si="43">F532*0.56</f>
        <v>47203.520000000004</v>
      </c>
      <c r="H532" s="18">
        <v>1498.7</v>
      </c>
      <c r="I532" s="18"/>
      <c r="J532" s="18"/>
      <c r="K532" s="18">
        <v>530</v>
      </c>
      <c r="L532" s="88">
        <f>SUM(F532:K532)</f>
        <v>133524.22000000003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41019</v>
      </c>
      <c r="G533" s="18">
        <f t="shared" si="43"/>
        <v>22970.640000000003</v>
      </c>
      <c r="H533" s="18">
        <v>1540</v>
      </c>
      <c r="I533" s="18"/>
      <c r="J533" s="18"/>
      <c r="K533" s="18">
        <v>530</v>
      </c>
      <c r="L533" s="88">
        <f>SUM(F533:K533)</f>
        <v>66059.64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203311</v>
      </c>
      <c r="G534" s="89">
        <f t="shared" ref="G534:L534" si="44">SUM(G531:G533)</f>
        <v>113854.16000000002</v>
      </c>
      <c r="H534" s="89">
        <f t="shared" si="44"/>
        <v>3038.7</v>
      </c>
      <c r="I534" s="89">
        <f t="shared" si="44"/>
        <v>0</v>
      </c>
      <c r="J534" s="89">
        <f t="shared" si="44"/>
        <v>0</v>
      </c>
      <c r="K534" s="89">
        <f t="shared" si="44"/>
        <v>1740</v>
      </c>
      <c r="L534" s="89">
        <f t="shared" si="44"/>
        <v>321943.86000000004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17257.11</v>
      </c>
      <c r="I536" s="18"/>
      <c r="J536" s="18"/>
      <c r="K536" s="18"/>
      <c r="L536" s="88">
        <f>SUM(F536:K536)</f>
        <v>17257.11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5">SUM(G536:G538)</f>
        <v>0</v>
      </c>
      <c r="H539" s="89">
        <f t="shared" si="45"/>
        <v>17257.11</v>
      </c>
      <c r="I539" s="89">
        <f t="shared" si="45"/>
        <v>0</v>
      </c>
      <c r="J539" s="89">
        <f t="shared" si="45"/>
        <v>0</v>
      </c>
      <c r="K539" s="89">
        <f t="shared" si="45"/>
        <v>0</v>
      </c>
      <c r="L539" s="89">
        <f t="shared" si="45"/>
        <v>17257.11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140565.99</v>
      </c>
      <c r="I541" s="18"/>
      <c r="J541" s="18"/>
      <c r="K541" s="18"/>
      <c r="L541" s="88">
        <f>SUM(F541:K541)</f>
        <v>140565.99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41053.589999999997</v>
      </c>
      <c r="I542" s="18"/>
      <c r="J542" s="18"/>
      <c r="K542" s="18"/>
      <c r="L542" s="88">
        <f>SUM(F542:K542)</f>
        <v>41053.589999999997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55494.51</v>
      </c>
      <c r="I543" s="18"/>
      <c r="J543" s="18"/>
      <c r="K543" s="18"/>
      <c r="L543" s="88">
        <f>SUM(F543:K543)</f>
        <v>55494.51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6">SUM(G541:G543)</f>
        <v>0</v>
      </c>
      <c r="H544" s="193">
        <f>SUM(H541:H543)</f>
        <v>237114.09</v>
      </c>
      <c r="I544" s="193">
        <f t="shared" si="46"/>
        <v>0</v>
      </c>
      <c r="J544" s="193">
        <f t="shared" si="46"/>
        <v>0</v>
      </c>
      <c r="K544" s="193">
        <f t="shared" si="46"/>
        <v>0</v>
      </c>
      <c r="L544" s="193">
        <f t="shared" si="46"/>
        <v>237114.09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3668556.9800000004</v>
      </c>
      <c r="G545" s="89">
        <f t="shared" ref="G545:L545" si="47">G524+G529+G534+G539+G544</f>
        <v>2044903.3644000001</v>
      </c>
      <c r="H545" s="89">
        <f t="shared" si="47"/>
        <v>2070017.28</v>
      </c>
      <c r="I545" s="89">
        <f t="shared" si="47"/>
        <v>26859.06</v>
      </c>
      <c r="J545" s="89">
        <f t="shared" si="47"/>
        <v>23909.200000000001</v>
      </c>
      <c r="K545" s="89">
        <f t="shared" si="47"/>
        <v>1740</v>
      </c>
      <c r="L545" s="89">
        <f t="shared" si="47"/>
        <v>7835985.8843999999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3490404.13</v>
      </c>
      <c r="G549" s="87">
        <f>L526</f>
        <v>390480.0944</v>
      </c>
      <c r="H549" s="87">
        <f>L531</f>
        <v>122360</v>
      </c>
      <c r="I549" s="87">
        <f>L536</f>
        <v>17257.11</v>
      </c>
      <c r="J549" s="87">
        <f>L541</f>
        <v>140565.99</v>
      </c>
      <c r="K549" s="87">
        <f>SUM(F549:J549)</f>
        <v>4161067.3243999993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1421570.12</v>
      </c>
      <c r="G550" s="87">
        <f>L527</f>
        <v>97150.760000000009</v>
      </c>
      <c r="H550" s="87">
        <f>L532</f>
        <v>133524.22000000003</v>
      </c>
      <c r="I550" s="87">
        <f>L537</f>
        <v>0</v>
      </c>
      <c r="J550" s="87">
        <f>L542</f>
        <v>41053.589999999997</v>
      </c>
      <c r="K550" s="87">
        <f>SUM(F550:J550)</f>
        <v>1693298.6900000002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1784060.2299999997</v>
      </c>
      <c r="G551" s="87">
        <f>L528</f>
        <v>76005.490000000005</v>
      </c>
      <c r="H551" s="87">
        <f>L533</f>
        <v>66059.64</v>
      </c>
      <c r="I551" s="87">
        <f>L538</f>
        <v>0</v>
      </c>
      <c r="J551" s="87">
        <f>L543</f>
        <v>55494.51</v>
      </c>
      <c r="K551" s="87">
        <f>SUM(F551:J551)</f>
        <v>1981619.8699999996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8">SUM(F549:F551)</f>
        <v>6696034.4799999995</v>
      </c>
      <c r="G552" s="89">
        <f t="shared" si="48"/>
        <v>563636.34440000006</v>
      </c>
      <c r="H552" s="89">
        <f t="shared" si="48"/>
        <v>321943.86000000004</v>
      </c>
      <c r="I552" s="89">
        <f t="shared" si="48"/>
        <v>17257.11</v>
      </c>
      <c r="J552" s="89">
        <f t="shared" si="48"/>
        <v>237114.09</v>
      </c>
      <c r="K552" s="89">
        <f t="shared" si="48"/>
        <v>7835985.8843999989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9">SUM(F557:F559)</f>
        <v>0</v>
      </c>
      <c r="G560" s="108">
        <f t="shared" si="49"/>
        <v>0</v>
      </c>
      <c r="H560" s="108">
        <f t="shared" si="49"/>
        <v>0</v>
      </c>
      <c r="I560" s="108">
        <f t="shared" si="49"/>
        <v>0</v>
      </c>
      <c r="J560" s="108">
        <f t="shared" si="49"/>
        <v>0</v>
      </c>
      <c r="K560" s="108">
        <f t="shared" si="49"/>
        <v>0</v>
      </c>
      <c r="L560" s="89">
        <f t="shared" si="49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50">SUM(F562:F564)</f>
        <v>0</v>
      </c>
      <c r="G565" s="89">
        <f t="shared" si="50"/>
        <v>0</v>
      </c>
      <c r="H565" s="89">
        <f t="shared" si="50"/>
        <v>0</v>
      </c>
      <c r="I565" s="89">
        <f t="shared" si="50"/>
        <v>0</v>
      </c>
      <c r="J565" s="89">
        <f t="shared" si="50"/>
        <v>0</v>
      </c>
      <c r="K565" s="89">
        <f t="shared" si="50"/>
        <v>0</v>
      </c>
      <c r="L565" s="89">
        <f t="shared" si="50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51">SUM(G567:G569)</f>
        <v>0</v>
      </c>
      <c r="H570" s="193">
        <f t="shared" si="51"/>
        <v>0</v>
      </c>
      <c r="I570" s="193">
        <f t="shared" si="51"/>
        <v>0</v>
      </c>
      <c r="J570" s="193">
        <f t="shared" si="51"/>
        <v>0</v>
      </c>
      <c r="K570" s="193">
        <f t="shared" si="51"/>
        <v>0</v>
      </c>
      <c r="L570" s="193">
        <f t="shared" si="51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52">G560+G565+G570</f>
        <v>0</v>
      </c>
      <c r="H571" s="89">
        <f t="shared" si="52"/>
        <v>0</v>
      </c>
      <c r="I571" s="89">
        <f t="shared" si="52"/>
        <v>0</v>
      </c>
      <c r="J571" s="89">
        <f t="shared" si="52"/>
        <v>0</v>
      </c>
      <c r="K571" s="89">
        <f t="shared" si="52"/>
        <v>0</v>
      </c>
      <c r="L571" s="89">
        <f t="shared" si="52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53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53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53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82723.81</v>
      </c>
      <c r="G579" s="18">
        <v>23126.03</v>
      </c>
      <c r="H579" s="18">
        <v>28777.27</v>
      </c>
      <c r="I579" s="87">
        <f t="shared" si="53"/>
        <v>134627.10999999999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53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53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92597.33</v>
      </c>
      <c r="G582" s="18">
        <v>78647.070000000007</v>
      </c>
      <c r="H582" s="18">
        <v>380246.25</v>
      </c>
      <c r="I582" s="87">
        <f t="shared" si="53"/>
        <v>551490.65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53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53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53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53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53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207761.84</v>
      </c>
      <c r="I591" s="18">
        <v>83903.82</v>
      </c>
      <c r="J591" s="18">
        <v>107876.34</v>
      </c>
      <c r="K591" s="104">
        <f t="shared" ref="K591:K597" si="54">SUM(H591:J591)</f>
        <v>399542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97033.58+43532.41</f>
        <v>140565.99</v>
      </c>
      <c r="I592" s="18">
        <f>39186.64+1866.95</f>
        <v>41053.589999999997</v>
      </c>
      <c r="J592" s="18">
        <f>50382.82+1691.89</f>
        <v>52074.71</v>
      </c>
      <c r="K592" s="104">
        <f t="shared" si="54"/>
        <v>233694.28999999998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3419.8</v>
      </c>
      <c r="K593" s="104">
        <f t="shared" si="54"/>
        <v>3419.8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9152.8799999999992</v>
      </c>
      <c r="J594" s="18">
        <v>19750</v>
      </c>
      <c r="K594" s="104">
        <f t="shared" si="54"/>
        <v>28902.879999999997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154+1460+102.5</f>
        <v>1716.5</v>
      </c>
      <c r="I595" s="18">
        <v>1314.63</v>
      </c>
      <c r="J595" s="18">
        <v>32945.279999999999</v>
      </c>
      <c r="K595" s="104">
        <f t="shared" si="54"/>
        <v>35976.409999999996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>
        <v>458.5</v>
      </c>
      <c r="J596" s="18">
        <f>270+3768.29</f>
        <v>4038.29</v>
      </c>
      <c r="K596" s="104">
        <f t="shared" si="54"/>
        <v>4496.79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4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350044.32999999996</v>
      </c>
      <c r="I598" s="108">
        <f>SUM(I591:I597)</f>
        <v>135883.42000000001</v>
      </c>
      <c r="J598" s="108">
        <f>SUM(J591:J597)</f>
        <v>220104.41999999998</v>
      </c>
      <c r="K598" s="108">
        <f>SUM(K591:K597)</f>
        <v>706032.17000000016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112815.46-6649.97+35457.14</f>
        <v>141622.63</v>
      </c>
      <c r="I604" s="18">
        <f>97032.31-1180.73+5296.31</f>
        <v>101147.89</v>
      </c>
      <c r="J604" s="18">
        <f>87076.1-1574.3+49013.08</f>
        <v>134514.88</v>
      </c>
      <c r="K604" s="104">
        <f>SUM(H604:J604)</f>
        <v>377285.4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141622.63</v>
      </c>
      <c r="I605" s="108">
        <f>SUM(I602:I604)</f>
        <v>101147.89</v>
      </c>
      <c r="J605" s="108">
        <f>SUM(J602:J604)</f>
        <v>134514.88</v>
      </c>
      <c r="K605" s="108">
        <f>SUM(K602:K604)</f>
        <v>377285.4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2990+6226.18+29696.23</f>
        <v>38912.410000000003</v>
      </c>
      <c r="G611" s="18"/>
      <c r="H611" s="18">
        <v>20028.310000000001</v>
      </c>
      <c r="I611" s="18">
        <v>312</v>
      </c>
      <c r="J611" s="18"/>
      <c r="K611" s="18"/>
      <c r="L611" s="88">
        <f>SUM(F611:K611)</f>
        <v>59252.72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1207.5+2514.42+11992.71</f>
        <v>15714.63</v>
      </c>
      <c r="G612" s="18"/>
      <c r="H612" s="18">
        <v>8246.9500000000007</v>
      </c>
      <c r="I612" s="18">
        <v>126</v>
      </c>
      <c r="J612" s="18"/>
      <c r="K612" s="18"/>
      <c r="L612" s="88">
        <f>SUM(F612:K612)</f>
        <v>24087.58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f>1552.5+3232.82+15419.2</f>
        <v>20204.52</v>
      </c>
      <c r="G613" s="18"/>
      <c r="H613" s="18">
        <v>10995.93</v>
      </c>
      <c r="I613" s="18">
        <v>162</v>
      </c>
      <c r="J613" s="18"/>
      <c r="K613" s="18"/>
      <c r="L613" s="88">
        <f>SUM(F613:K613)</f>
        <v>31362.45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5">SUM(F611:F613)</f>
        <v>74831.56</v>
      </c>
      <c r="G614" s="108">
        <f t="shared" si="55"/>
        <v>0</v>
      </c>
      <c r="H614" s="108">
        <f t="shared" si="55"/>
        <v>39271.19</v>
      </c>
      <c r="I614" s="108">
        <f t="shared" si="55"/>
        <v>600</v>
      </c>
      <c r="J614" s="108">
        <f t="shared" si="55"/>
        <v>0</v>
      </c>
      <c r="K614" s="108">
        <f t="shared" si="55"/>
        <v>0</v>
      </c>
      <c r="L614" s="89">
        <f t="shared" si="55"/>
        <v>114702.75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3044319.6100000003</v>
      </c>
      <c r="H617" s="109">
        <f>SUM(F52)</f>
        <v>3044319.6100000003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79582.17</v>
      </c>
      <c r="H618" s="109">
        <f>SUM(G52)</f>
        <v>79582.169999999984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960130.95000000007</v>
      </c>
      <c r="H619" s="109">
        <f>SUM(H52)</f>
        <v>960130.95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0</v>
      </c>
      <c r="H621" s="109">
        <f>SUM(J52)</f>
        <v>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6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6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6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6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6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32055549.93</v>
      </c>
      <c r="H627" s="104">
        <f>SUM(F468)</f>
        <v>32055549.93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1287245.71</v>
      </c>
      <c r="H628" s="104">
        <f>SUM(G468)</f>
        <v>1287245.71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4839286.2699999996</v>
      </c>
      <c r="H629" s="104">
        <f>SUM(H468)</f>
        <v>4839286.2699999996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32055549.930000003</v>
      </c>
      <c r="H632" s="104">
        <f>SUM(F472)</f>
        <v>32055549.930000003</v>
      </c>
      <c r="I632" s="140" t="s">
        <v>111</v>
      </c>
      <c r="J632" s="109">
        <f t="shared" si="56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4839286.2700000005</v>
      </c>
      <c r="H633" s="104">
        <f>SUM(H472)</f>
        <v>4839286.2700000005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631023.76</v>
      </c>
      <c r="H634" s="104">
        <f>I369</f>
        <v>631023.75999999989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1287245.71</v>
      </c>
      <c r="H635" s="104">
        <f>SUM(G472)</f>
        <v>1287245.71</v>
      </c>
      <c r="I635" s="140" t="s">
        <v>114</v>
      </c>
      <c r="J635" s="109">
        <f t="shared" si="56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6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6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6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6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6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6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859</v>
      </c>
      <c r="J642" s="109">
        <f t="shared" si="56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6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6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6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6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706032.17000000016</v>
      </c>
      <c r="H647" s="104">
        <f>L208+L226+L244</f>
        <v>706032.17</v>
      </c>
      <c r="I647" s="140" t="s">
        <v>396</v>
      </c>
      <c r="J647" s="109">
        <f t="shared" si="56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377285.4</v>
      </c>
      <c r="H648" s="104">
        <f>(J257+J338)-(J255+J336)</f>
        <v>377285.4</v>
      </c>
      <c r="I648" s="140" t="s">
        <v>702</v>
      </c>
      <c r="J648" s="109">
        <f t="shared" si="56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350044.33</v>
      </c>
      <c r="H649" s="104">
        <f>H598</f>
        <v>350044.32999999996</v>
      </c>
      <c r="I649" s="140" t="s">
        <v>388</v>
      </c>
      <c r="J649" s="109">
        <f t="shared" si="56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135883.42000000001</v>
      </c>
      <c r="H650" s="104">
        <f>I598</f>
        <v>135883.42000000001</v>
      </c>
      <c r="I650" s="140" t="s">
        <v>389</v>
      </c>
      <c r="J650" s="109">
        <f t="shared" si="56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220104.42</v>
      </c>
      <c r="H651" s="104">
        <f>J598</f>
        <v>220104.41999999998</v>
      </c>
      <c r="I651" s="140" t="s">
        <v>390</v>
      </c>
      <c r="J651" s="109">
        <f t="shared" si="56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6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480000</v>
      </c>
      <c r="H653" s="104">
        <f>K264</f>
        <v>480000</v>
      </c>
      <c r="I653" s="140" t="s">
        <v>398</v>
      </c>
      <c r="J653" s="109">
        <f t="shared" si="56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6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6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15121572.07</v>
      </c>
      <c r="G660" s="19">
        <f>(L229+L309+L359)</f>
        <v>7563240.9800000004</v>
      </c>
      <c r="H660" s="19">
        <f>(L247+L328+L360)</f>
        <v>11260068.58</v>
      </c>
      <c r="I660" s="19">
        <f>SUM(F660:H660)</f>
        <v>33944881.630000003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204944.83897279538</v>
      </c>
      <c r="G661" s="19">
        <f>(L359/IF(SUM(L358:L360)=0,1,SUM(L358:L360))*(SUM(G97:G110)))</f>
        <v>99297.731080432219</v>
      </c>
      <c r="H661" s="19">
        <f>(L360/IF(SUM(L358:L360)=0,1,SUM(L358:L360))*(SUM(G97:G110)))</f>
        <v>112601.94994677247</v>
      </c>
      <c r="I661" s="19">
        <f>SUM(F661:H661)</f>
        <v>416844.52000000008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361934.68</v>
      </c>
      <c r="G662" s="19">
        <f>(L226+L306)-(J226+J306)</f>
        <v>140685.29</v>
      </c>
      <c r="H662" s="19">
        <f>(L244+L325)-(J244+J325)</f>
        <v>228564.78000000003</v>
      </c>
      <c r="I662" s="19">
        <f>SUM(F662:H662)</f>
        <v>731184.75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376196.49</v>
      </c>
      <c r="G663" s="199">
        <f>SUM(G575:G587)+SUM(I602:I604)+L612</f>
        <v>227008.57</v>
      </c>
      <c r="H663" s="199">
        <f>SUM(H575:H587)+SUM(J602:J604)+L613</f>
        <v>574900.85</v>
      </c>
      <c r="I663" s="19">
        <f>SUM(F663:H663)</f>
        <v>1178105.9100000001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14178496.061027205</v>
      </c>
      <c r="G664" s="19">
        <f>G660-SUM(G661:G663)</f>
        <v>7096249.3889195686</v>
      </c>
      <c r="H664" s="19">
        <f>H660-SUM(H661:H663)</f>
        <v>10344001.000053227</v>
      </c>
      <c r="I664" s="19">
        <f>I660-SUM(I661:I663)</f>
        <v>31618746.450000003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964.39</v>
      </c>
      <c r="G665" s="248">
        <v>411</v>
      </c>
      <c r="H665" s="248">
        <v>541.37</v>
      </c>
      <c r="I665" s="19">
        <f>SUM(F665:H665)</f>
        <v>1916.7599999999998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14702.04</v>
      </c>
      <c r="G667" s="19">
        <f>ROUND(G664/G665,2)</f>
        <v>17265.810000000001</v>
      </c>
      <c r="H667" s="19">
        <f>ROUND(H664/H665,2)</f>
        <v>19107.080000000002</v>
      </c>
      <c r="I667" s="19">
        <f>ROUND(I664/I665,2)</f>
        <v>16495.93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73.44</v>
      </c>
      <c r="I670" s="19">
        <f>SUM(F670:H670)</f>
        <v>73.44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14702.04</v>
      </c>
      <c r="G672" s="19">
        <f>ROUND((G664+G669)/(G665+G670),2)</f>
        <v>17265.810000000001</v>
      </c>
      <c r="H672" s="19">
        <f>ROUND((H664+H669)/(H665+H670),2)</f>
        <v>16824.71</v>
      </c>
      <c r="I672" s="19">
        <f>ROUND((I664+I669)/(I665+I670),2)</f>
        <v>15887.22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1" sqref="B3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Laconia School District SAU #30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7650839.7999999998</v>
      </c>
      <c r="C9" s="229">
        <f>'DOE25'!G197+'DOE25'!G215+'DOE25'!G233+'DOE25'!G276+'DOE25'!G295+'DOE25'!G314</f>
        <v>4054465.29</v>
      </c>
    </row>
    <row r="10" spans="1:3" x14ac:dyDescent="0.2">
      <c r="A10" t="s">
        <v>778</v>
      </c>
      <c r="B10" s="240">
        <f>6203205.96+914820.53+180120</f>
        <v>7298146.4900000002</v>
      </c>
      <c r="C10" s="240">
        <f>C9-C12-C11</f>
        <v>3856957.0363999996</v>
      </c>
    </row>
    <row r="11" spans="1:3" x14ac:dyDescent="0.2">
      <c r="A11" t="s">
        <v>779</v>
      </c>
      <c r="B11" s="240">
        <f>0+52964.38+0</f>
        <v>52964.38</v>
      </c>
      <c r="C11" s="240">
        <f>B11*0.56</f>
        <v>29660.052800000001</v>
      </c>
    </row>
    <row r="12" spans="1:3" x14ac:dyDescent="0.2">
      <c r="A12" t="s">
        <v>780</v>
      </c>
      <c r="B12" s="240">
        <f>184227.34+115501.59</f>
        <v>299728.93</v>
      </c>
      <c r="C12" s="240">
        <f>B12*0.56</f>
        <v>167848.20080000002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7650839.7999999998</v>
      </c>
      <c r="C13" s="231">
        <f>SUM(C10:C12)</f>
        <v>4054465.29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3412050.24</v>
      </c>
      <c r="C18" s="229">
        <f>'DOE25'!G198+'DOE25'!G216+'DOE25'!G234+'DOE25'!G277+'DOE25'!G296+'DOE25'!G315</f>
        <v>1901259.59</v>
      </c>
    </row>
    <row r="19" spans="1:3" x14ac:dyDescent="0.2">
      <c r="A19" t="s">
        <v>778</v>
      </c>
      <c r="B19" s="240">
        <f>1250098.9+375191.43+102119</f>
        <v>1727409.3299999998</v>
      </c>
      <c r="C19" s="240">
        <f>C18-C20-C21</f>
        <v>957860.68040000019</v>
      </c>
    </row>
    <row r="20" spans="1:3" x14ac:dyDescent="0.2">
      <c r="A20" t="s">
        <v>779</v>
      </c>
      <c r="B20" s="240">
        <f>1308831.71+0</f>
        <v>1308831.71</v>
      </c>
      <c r="C20" s="240">
        <f>B20*0.56</f>
        <v>732945.75760000001</v>
      </c>
    </row>
    <row r="21" spans="1:3" x14ac:dyDescent="0.2">
      <c r="A21" t="s">
        <v>780</v>
      </c>
      <c r="B21" s="240">
        <f>370809.2+5000</f>
        <v>375809.2</v>
      </c>
      <c r="C21" s="240">
        <f>B21*0.56</f>
        <v>210453.15200000003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3412050.24</v>
      </c>
      <c r="C22" s="231">
        <f>SUM(C19:C21)</f>
        <v>1901259.59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953633.77999999991</v>
      </c>
      <c r="C27" s="234">
        <f>'DOE25'!G199+'DOE25'!G217+'DOE25'!G235+'DOE25'!G278+'DOE25'!G297+'DOE25'!G316</f>
        <v>524514.6</v>
      </c>
    </row>
    <row r="28" spans="1:3" x14ac:dyDescent="0.2">
      <c r="A28" t="s">
        <v>778</v>
      </c>
      <c r="B28" s="240">
        <f>648584+26789.38</f>
        <v>675373.38</v>
      </c>
      <c r="C28" s="240">
        <f>C27-C29-C30</f>
        <v>368688.77599999995</v>
      </c>
    </row>
    <row r="29" spans="1:3" x14ac:dyDescent="0.2">
      <c r="A29" t="s">
        <v>779</v>
      </c>
      <c r="B29" s="240">
        <f>25003.43+0</f>
        <v>25003.43</v>
      </c>
      <c r="C29" s="240">
        <f>B29*0.56</f>
        <v>14001.920800000002</v>
      </c>
    </row>
    <row r="30" spans="1:3" x14ac:dyDescent="0.2">
      <c r="A30" t="s">
        <v>780</v>
      </c>
      <c r="B30" s="240">
        <f>234299.53+18957.44</f>
        <v>253256.97</v>
      </c>
      <c r="C30" s="240">
        <f>B30*0.56</f>
        <v>141823.9032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953633.78</v>
      </c>
      <c r="C31" s="231">
        <f>SUM(C28:C30)</f>
        <v>524514.6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196974.84</v>
      </c>
      <c r="C36" s="235">
        <f>'DOE25'!G200+'DOE25'!G218+'DOE25'!G236+'DOE25'!G279+'DOE25'!G298+'DOE25'!G317</f>
        <v>110617.47</v>
      </c>
    </row>
    <row r="37" spans="1:3" x14ac:dyDescent="0.2">
      <c r="A37" t="s">
        <v>778</v>
      </c>
      <c r="B37" s="240">
        <f>196974.84</f>
        <v>196974.84</v>
      </c>
      <c r="C37" s="240">
        <f>C36-C38-C39</f>
        <v>110617.47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196974.84</v>
      </c>
      <c r="C40" s="231">
        <f>SUM(C37:C39)</f>
        <v>110617.47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Laconia School District SAU #30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19064464.84</v>
      </c>
      <c r="D5" s="20">
        <f>SUM('DOE25'!L197:L200)+SUM('DOE25'!L215:L218)+SUM('DOE25'!L233:L236)-F5-G5</f>
        <v>18979157.060000002</v>
      </c>
      <c r="E5" s="243"/>
      <c r="F5" s="255">
        <f>SUM('DOE25'!J197:J200)+SUM('DOE25'!J215:J218)+SUM('DOE25'!J233:J236)</f>
        <v>83317.47</v>
      </c>
      <c r="G5" s="53">
        <f>SUM('DOE25'!K197:K200)+SUM('DOE25'!K215:K218)+SUM('DOE25'!K233:K236)</f>
        <v>1990.31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1646918.5000000002</v>
      </c>
      <c r="D6" s="20">
        <f>'DOE25'!L202+'DOE25'!L220+'DOE25'!L238-F6-G6</f>
        <v>1646748.5000000002</v>
      </c>
      <c r="E6" s="243"/>
      <c r="F6" s="255">
        <f>'DOE25'!J202+'DOE25'!J220+'DOE25'!J238</f>
        <v>0</v>
      </c>
      <c r="G6" s="53">
        <f>'DOE25'!K202+'DOE25'!K220+'DOE25'!K238</f>
        <v>170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1297606.4499999997</v>
      </c>
      <c r="D7" s="20">
        <f>'DOE25'!L203+'DOE25'!L221+'DOE25'!L239-F7-G7</f>
        <v>1099690.6399999997</v>
      </c>
      <c r="E7" s="243"/>
      <c r="F7" s="255">
        <f>'DOE25'!J203+'DOE25'!J221+'DOE25'!J239</f>
        <v>197915.81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728040.59</v>
      </c>
      <c r="D8" s="243"/>
      <c r="E8" s="20">
        <f>'DOE25'!L204+'DOE25'!L222+'DOE25'!L240-F8-G8-D9-D11</f>
        <v>692650.19</v>
      </c>
      <c r="F8" s="255">
        <f>'DOE25'!J204+'DOE25'!J222+'DOE25'!J240</f>
        <v>0</v>
      </c>
      <c r="G8" s="53">
        <f>'DOE25'!K204+'DOE25'!K222+'DOE25'!K240</f>
        <v>35390.399999999994</v>
      </c>
      <c r="H8" s="259"/>
    </row>
    <row r="9" spans="1:9" x14ac:dyDescent="0.2">
      <c r="A9" s="32">
        <v>2310</v>
      </c>
      <c r="B9" t="s">
        <v>817</v>
      </c>
      <c r="C9" s="245">
        <f t="shared" si="0"/>
        <v>32737.919999999998</v>
      </c>
      <c r="D9" s="244">
        <v>32737.919999999998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20000</v>
      </c>
      <c r="D10" s="243"/>
      <c r="E10" s="244">
        <v>20000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308295.46000000002</v>
      </c>
      <c r="D11" s="244">
        <v>308295.46000000002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1829263.7400000002</v>
      </c>
      <c r="D12" s="20">
        <f>'DOE25'!L205+'DOE25'!L223+'DOE25'!L241-F12-G12</f>
        <v>1818523.6400000001</v>
      </c>
      <c r="E12" s="243"/>
      <c r="F12" s="255">
        <f>'DOE25'!J205+'DOE25'!J223+'DOE25'!J241</f>
        <v>0</v>
      </c>
      <c r="G12" s="53">
        <f>'DOE25'!K205+'DOE25'!K223+'DOE25'!K241</f>
        <v>10740.099999999999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504459.64</v>
      </c>
      <c r="D13" s="243"/>
      <c r="E13" s="20">
        <f>'DOE25'!L206+'DOE25'!L224+'DOE25'!L242-F13-G13</f>
        <v>502263.65</v>
      </c>
      <c r="F13" s="255">
        <f>'DOE25'!J206+'DOE25'!J224+'DOE25'!J242</f>
        <v>2195.9899999999998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2501457.7999999998</v>
      </c>
      <c r="D14" s="20">
        <f>'DOE25'!L207+'DOE25'!L225+'DOE25'!L243-F14-G14</f>
        <v>2489963.1999999997</v>
      </c>
      <c r="E14" s="243"/>
      <c r="F14" s="255">
        <f>'DOE25'!J207+'DOE25'!J225+'DOE25'!J243</f>
        <v>11494.599999999999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706032.17</v>
      </c>
      <c r="D15" s="20">
        <f>'DOE25'!L208+'DOE25'!L226+'DOE25'!L244-F15-G15</f>
        <v>706032.17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271638.31</v>
      </c>
      <c r="D17" s="20">
        <f>'DOE25'!L251-F17-G17</f>
        <v>266571.56</v>
      </c>
      <c r="E17" s="243"/>
      <c r="F17" s="255">
        <f>'DOE25'!J251</f>
        <v>2000</v>
      </c>
      <c r="G17" s="53">
        <f>'DOE25'!K251</f>
        <v>3066.75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125000</v>
      </c>
      <c r="D22" s="243"/>
      <c r="E22" s="243"/>
      <c r="F22" s="255">
        <f>'DOE25'!L255+'DOE25'!L336</f>
        <v>125000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2559634.5100000002</v>
      </c>
      <c r="D25" s="243"/>
      <c r="E25" s="243"/>
      <c r="F25" s="258"/>
      <c r="G25" s="256"/>
      <c r="H25" s="257">
        <f>'DOE25'!L260+'DOE25'!L261+'DOE25'!L341+'DOE25'!L342</f>
        <v>2559634.5100000002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706462.78</v>
      </c>
      <c r="D29" s="20">
        <f>'DOE25'!L358+'DOE25'!L359+'DOE25'!L360-'DOE25'!I367-F29-G29</f>
        <v>672626.65</v>
      </c>
      <c r="E29" s="243"/>
      <c r="F29" s="255">
        <f>'DOE25'!J358+'DOE25'!J359+'DOE25'!J360</f>
        <v>33836.130000000005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4349246.83</v>
      </c>
      <c r="D31" s="20">
        <f>'DOE25'!L290+'DOE25'!L309+'DOE25'!L328+'DOE25'!L333+'DOE25'!L334+'DOE25'!L335-F31-G31</f>
        <v>4258498.1099999994</v>
      </c>
      <c r="E31" s="243"/>
      <c r="F31" s="255">
        <f>'DOE25'!J290+'DOE25'!J309+'DOE25'!J328+'DOE25'!J333+'DOE25'!J334+'DOE25'!J335</f>
        <v>80361.53</v>
      </c>
      <c r="G31" s="53">
        <f>'DOE25'!K290+'DOE25'!K309+'DOE25'!K328+'DOE25'!K333+'DOE25'!K334+'DOE25'!K335</f>
        <v>10387.189999999999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32278844.910000004</v>
      </c>
      <c r="E33" s="246">
        <f>SUM(E5:E31)</f>
        <v>1214913.8399999999</v>
      </c>
      <c r="F33" s="246">
        <f>SUM(F5:F31)</f>
        <v>536121.53</v>
      </c>
      <c r="G33" s="246">
        <f>SUM(G5:G31)</f>
        <v>61744.749999999985</v>
      </c>
      <c r="H33" s="246">
        <f>SUM(H5:H31)</f>
        <v>2559634.5100000002</v>
      </c>
    </row>
    <row r="35" spans="2:8" ht="12" thickBot="1" x14ac:dyDescent="0.25">
      <c r="B35" s="253" t="s">
        <v>846</v>
      </c>
      <c r="D35" s="254">
        <f>E33</f>
        <v>1214913.8399999999</v>
      </c>
      <c r="E35" s="249"/>
    </row>
    <row r="36" spans="2:8" ht="12" thickTop="1" x14ac:dyDescent="0.2">
      <c r="B36" t="s">
        <v>814</v>
      </c>
      <c r="D36" s="20">
        <f>D33</f>
        <v>32278844.910000004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0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Laconia School District SAU #30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7595.61</v>
      </c>
      <c r="D8" s="95">
        <f>'DOE25'!G9</f>
        <v>400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1691827.06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931066.56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193921.09</v>
      </c>
      <c r="D12" s="95">
        <f>'DOE25'!G13</f>
        <v>56927.25</v>
      </c>
      <c r="E12" s="95">
        <f>'DOE25'!H13</f>
        <v>954236.78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11273.47</v>
      </c>
      <c r="D13" s="95">
        <f>'DOE25'!G14</f>
        <v>413.92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21841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198635.82</v>
      </c>
      <c r="D16" s="95">
        <f>'DOE25'!G17</f>
        <v>0</v>
      </c>
      <c r="E16" s="95">
        <f>'DOE25'!H17</f>
        <v>5894.17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10000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3044319.6100000003</v>
      </c>
      <c r="D18" s="41">
        <f>SUM(D8:D17)</f>
        <v>79582.17</v>
      </c>
      <c r="E18" s="41">
        <f>SUM(E8:E17)</f>
        <v>960130.95000000007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70588.37</v>
      </c>
      <c r="E21" s="95">
        <f>'DOE25'!H22</f>
        <v>860478.19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2721075.99</v>
      </c>
      <c r="D23" s="95">
        <f>'DOE25'!G24</f>
        <v>6839.12</v>
      </c>
      <c r="E23" s="95">
        <f>'DOE25'!H24</f>
        <v>34099.5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37950.89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65553.259999999995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285292.73</v>
      </c>
      <c r="D30" s="95">
        <f>'DOE25'!G31</f>
        <v>2154.6799999999998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3044319.6100000003</v>
      </c>
      <c r="D31" s="41">
        <f>SUM(D21:D30)</f>
        <v>79582.169999999984</v>
      </c>
      <c r="E31" s="41">
        <f>SUM(E21:E30)</f>
        <v>960130.95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0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3044319.6100000003</v>
      </c>
      <c r="D51" s="41">
        <f>D50+D31</f>
        <v>79582.169999999984</v>
      </c>
      <c r="E51" s="41">
        <f>E50+E31</f>
        <v>960130.95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18724616.52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490495.74</v>
      </c>
      <c r="D57" s="24" t="s">
        <v>288</v>
      </c>
      <c r="E57" s="95">
        <f>'DOE25'!H79</f>
        <v>187895.52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416844.52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21060.59</v>
      </c>
      <c r="D61" s="95">
        <f>SUM('DOE25'!G98:G110)</f>
        <v>0</v>
      </c>
      <c r="E61" s="95">
        <f>SUM('DOE25'!H98:H110)</f>
        <v>184093.73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511556.33</v>
      </c>
      <c r="D62" s="130">
        <f>SUM(D57:D61)</f>
        <v>416844.52</v>
      </c>
      <c r="E62" s="130">
        <f>SUM(E57:E61)</f>
        <v>371989.25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19236172.849999998</v>
      </c>
      <c r="D63" s="22">
        <f>D56+D62</f>
        <v>416844.52</v>
      </c>
      <c r="E63" s="22">
        <f>E56+E62</f>
        <v>371989.25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5953835.46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4462978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82407.61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10416813.460000001</v>
      </c>
      <c r="D70" s="139">
        <f>D69</f>
        <v>82407.61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744010.8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108669.39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1021122.02</v>
      </c>
      <c r="D76" s="24" t="s">
        <v>288</v>
      </c>
      <c r="E76" s="95">
        <f>SUM('DOE25'!H127:H130)</f>
        <v>32761.02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15861.62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1873802.21</v>
      </c>
      <c r="D78" s="130">
        <f>SUM(D72:D77)</f>
        <v>15861.62</v>
      </c>
      <c r="E78" s="130">
        <f>SUM(E72:E77)</f>
        <v>32761.02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12290615.670000002</v>
      </c>
      <c r="D81" s="130">
        <f>SUM(D79:D80)+D78+D70</f>
        <v>98269.23</v>
      </c>
      <c r="E81" s="130">
        <f>SUM(E79:E80)+E78+E70</f>
        <v>32761.02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642881.99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528761.41</v>
      </c>
      <c r="D88" s="95">
        <f>SUM('DOE25'!G153:G161)</f>
        <v>772131.96</v>
      </c>
      <c r="E88" s="95">
        <f>SUM('DOE25'!H153:H161)</f>
        <v>3311654.01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528761.41</v>
      </c>
      <c r="D91" s="131">
        <f>SUM(D85:D90)</f>
        <v>772131.96</v>
      </c>
      <c r="E91" s="131">
        <f>SUM(E85:E90)</f>
        <v>3954536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480000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480000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32055549.93</v>
      </c>
      <c r="D104" s="86">
        <f>D63+D81+D91+D103</f>
        <v>1287245.71</v>
      </c>
      <c r="E104" s="86">
        <f>E63+E81+E91+E103</f>
        <v>4839286.2699999996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10746664.57</v>
      </c>
      <c r="D109" s="24" t="s">
        <v>288</v>
      </c>
      <c r="E109" s="95">
        <f>('DOE25'!L276)+('DOE25'!L295)+('DOE25'!L314)</f>
        <v>1702947.1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6417137.2200000007</v>
      </c>
      <c r="D110" s="24" t="s">
        <v>288</v>
      </c>
      <c r="E110" s="95">
        <f>('DOE25'!L277)+('DOE25'!L296)+('DOE25'!L315)</f>
        <v>600841.11999999988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1491847.77</v>
      </c>
      <c r="D111" s="24" t="s">
        <v>288</v>
      </c>
      <c r="E111" s="95">
        <f>('DOE25'!L278)+('DOE25'!L297)+('DOE25'!L316)</f>
        <v>183801.06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408815.28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10039.44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271638.31</v>
      </c>
      <c r="D114" s="24" t="s">
        <v>288</v>
      </c>
      <c r="E114" s="95">
        <f>+ SUM('DOE25'!L333:L335)</f>
        <v>310888.01999999996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19336103.149999999</v>
      </c>
      <c r="D115" s="86">
        <f>SUM(D109:D114)</f>
        <v>0</v>
      </c>
      <c r="E115" s="86">
        <f>SUM(E109:E114)</f>
        <v>2808516.7399999998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1646918.5000000002</v>
      </c>
      <c r="D118" s="24" t="s">
        <v>288</v>
      </c>
      <c r="E118" s="95">
        <f>+('DOE25'!L281)+('DOE25'!L300)+('DOE25'!L319)</f>
        <v>156868.66000000003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1297606.4499999997</v>
      </c>
      <c r="D119" s="24" t="s">
        <v>288</v>
      </c>
      <c r="E119" s="95">
        <f>+('DOE25'!L282)+('DOE25'!L301)+('DOE25'!L320)</f>
        <v>1066829.05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1069073.97</v>
      </c>
      <c r="D120" s="24" t="s">
        <v>288</v>
      </c>
      <c r="E120" s="95">
        <f>+('DOE25'!L283)+('DOE25'!L302)+('DOE25'!L321)</f>
        <v>296463.46000000002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1829263.7400000002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504459.64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2501457.7999999998</v>
      </c>
      <c r="D123" s="24" t="s">
        <v>288</v>
      </c>
      <c r="E123" s="95">
        <f>+('DOE25'!L286)+('DOE25'!L305)+('DOE25'!L324)</f>
        <v>5455.78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706032.17</v>
      </c>
      <c r="D124" s="24" t="s">
        <v>288</v>
      </c>
      <c r="E124" s="95">
        <f>+('DOE25'!L287)+('DOE25'!L306)+('DOE25'!L325)</f>
        <v>25152.58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1287245.71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9554812.2699999996</v>
      </c>
      <c r="D128" s="86">
        <f>SUM(D118:D127)</f>
        <v>1287245.71</v>
      </c>
      <c r="E128" s="86">
        <f>SUM(E118:E127)</f>
        <v>1550769.53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125000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1863833.58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695800.93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480000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480000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3164634.5100000002</v>
      </c>
      <c r="D144" s="141">
        <f>SUM(D130:D143)</f>
        <v>0</v>
      </c>
      <c r="E144" s="141">
        <f>SUM(E130:E143)</f>
        <v>480000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32055549.93</v>
      </c>
      <c r="D145" s="86">
        <f>(D115+D128+D144)</f>
        <v>1287245.71</v>
      </c>
      <c r="E145" s="86">
        <f>(E115+E128+E144)</f>
        <v>4839286.2699999996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Laconia School District SAU #30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14702</v>
      </c>
    </row>
    <row r="5" spans="1:4" x14ac:dyDescent="0.2">
      <c r="B5" t="s">
        <v>703</v>
      </c>
      <c r="C5" s="179">
        <f>IF('DOE25'!G665+'DOE25'!G670=0,0,ROUND('DOE25'!G672,0))</f>
        <v>17266</v>
      </c>
    </row>
    <row r="6" spans="1:4" x14ac:dyDescent="0.2">
      <c r="B6" t="s">
        <v>62</v>
      </c>
      <c r="C6" s="179">
        <f>IF('DOE25'!H665+'DOE25'!H670=0,0,ROUND('DOE25'!H672,0))</f>
        <v>16825</v>
      </c>
    </row>
    <row r="7" spans="1:4" x14ac:dyDescent="0.2">
      <c r="B7" t="s">
        <v>704</v>
      </c>
      <c r="C7" s="179">
        <f>IF('DOE25'!I665+'DOE25'!I670=0,0,ROUND('DOE25'!I672,0))</f>
        <v>15887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12449612</v>
      </c>
      <c r="D10" s="182">
        <f>ROUND((C10/$C$28)*100,1)</f>
        <v>35.799999999999997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7017978</v>
      </c>
      <c r="D11" s="182">
        <f>ROUND((C11/$C$28)*100,1)</f>
        <v>20.2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1675649</v>
      </c>
      <c r="D12" s="182">
        <f>ROUND((C12/$C$28)*100,1)</f>
        <v>4.8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408815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1803787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2364436</v>
      </c>
      <c r="D16" s="182">
        <f t="shared" si="0"/>
        <v>6.8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1365537</v>
      </c>
      <c r="D17" s="182">
        <f t="shared" si="0"/>
        <v>3.9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1829264</v>
      </c>
      <c r="D18" s="182">
        <f t="shared" si="0"/>
        <v>5.3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504460</v>
      </c>
      <c r="D19" s="182">
        <f t="shared" si="0"/>
        <v>1.4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2506914</v>
      </c>
      <c r="D20" s="182">
        <f t="shared" si="0"/>
        <v>7.2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731185</v>
      </c>
      <c r="D21" s="182">
        <f t="shared" si="0"/>
        <v>2.1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10039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582526</v>
      </c>
      <c r="D24" s="182">
        <f t="shared" si="0"/>
        <v>1.7</v>
      </c>
    </row>
    <row r="25" spans="1:4" x14ac:dyDescent="0.2">
      <c r="A25">
        <v>5120</v>
      </c>
      <c r="B25" t="s">
        <v>719</v>
      </c>
      <c r="C25" s="179">
        <f>ROUND('DOE25'!L261+'DOE25'!L342,0)</f>
        <v>695801</v>
      </c>
      <c r="D25" s="182">
        <f t="shared" si="0"/>
        <v>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870401.48</v>
      </c>
      <c r="D27" s="182">
        <f t="shared" si="0"/>
        <v>2.5</v>
      </c>
    </row>
    <row r="28" spans="1:4" x14ac:dyDescent="0.2">
      <c r="B28" s="187" t="s">
        <v>722</v>
      </c>
      <c r="C28" s="180">
        <f>SUM(C10:C27)</f>
        <v>34816404.479999997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125000</v>
      </c>
    </row>
    <row r="30" spans="1:4" x14ac:dyDescent="0.2">
      <c r="B30" s="187" t="s">
        <v>728</v>
      </c>
      <c r="C30" s="180">
        <f>SUM(C28:C29)</f>
        <v>34941404.479999997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1863834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18724617</v>
      </c>
      <c r="D35" s="182">
        <f t="shared" ref="D35:D40" si="1">ROUND((C35/$C$41)*100,1)</f>
        <v>50.2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883545.09999999776</v>
      </c>
      <c r="D36" s="182">
        <f t="shared" si="1"/>
        <v>2.4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10416813</v>
      </c>
      <c r="D37" s="182">
        <f t="shared" si="1"/>
        <v>27.9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2004832</v>
      </c>
      <c r="D38" s="182">
        <f t="shared" si="1"/>
        <v>5.4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5255429</v>
      </c>
      <c r="D39" s="182">
        <f t="shared" si="1"/>
        <v>14.1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37285236.099999994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Laconia School District SAU #30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2017-09-20T17:05:56Z</cp:lastPrinted>
  <dcterms:created xsi:type="dcterms:W3CDTF">1997-12-04T19:04:30Z</dcterms:created>
  <dcterms:modified xsi:type="dcterms:W3CDTF">2017-11-29T17:32:05Z</dcterms:modified>
</cp:coreProperties>
</file>