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19740" windowHeight="841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E16" i="13" s="1"/>
  <c r="L245" i="1"/>
  <c r="F5" i="13"/>
  <c r="G5" i="13"/>
  <c r="L197" i="1"/>
  <c r="C10" i="10" s="1"/>
  <c r="L198" i="1"/>
  <c r="C110" i="2" s="1"/>
  <c r="L199" i="1"/>
  <c r="L200" i="1"/>
  <c r="C13" i="10" s="1"/>
  <c r="L215" i="1"/>
  <c r="L229" i="1" s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D18" i="13" s="1"/>
  <c r="C18" i="13" s="1"/>
  <c r="G18" i="13"/>
  <c r="L252" i="1"/>
  <c r="F19" i="13"/>
  <c r="G19" i="13"/>
  <c r="D19" i="13" s="1"/>
  <c r="C19" i="13" s="1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C12" i="10" s="1"/>
  <c r="L279" i="1"/>
  <c r="L281" i="1"/>
  <c r="L282" i="1"/>
  <c r="L283" i="1"/>
  <c r="E120" i="2" s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28" i="1" s="1"/>
  <c r="H660" i="1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L261" i="1"/>
  <c r="L341" i="1"/>
  <c r="L342" i="1"/>
  <c r="C25" i="10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L349" i="1"/>
  <c r="L350" i="1"/>
  <c r="I665" i="1"/>
  <c r="I670" i="1"/>
  <c r="L247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C112" i="2"/>
  <c r="E112" i="2"/>
  <c r="C113" i="2"/>
  <c r="E113" i="2"/>
  <c r="C114" i="2"/>
  <c r="D115" i="2"/>
  <c r="F115" i="2"/>
  <c r="G115" i="2"/>
  <c r="C118" i="2"/>
  <c r="E118" i="2"/>
  <c r="E119" i="2"/>
  <c r="C120" i="2"/>
  <c r="E121" i="2"/>
  <c r="C122" i="2"/>
  <c r="E122" i="2"/>
  <c r="E123" i="2"/>
  <c r="C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G401" i="1"/>
  <c r="H401" i="1"/>
  <c r="H408" i="1" s="1"/>
  <c r="H644" i="1" s="1"/>
  <c r="J644" i="1" s="1"/>
  <c r="I401" i="1"/>
  <c r="F407" i="1"/>
  <c r="G407" i="1"/>
  <c r="H407" i="1"/>
  <c r="I407" i="1"/>
  <c r="G408" i="1"/>
  <c r="H645" i="1" s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G643" i="1"/>
  <c r="G644" i="1"/>
  <c r="G649" i="1"/>
  <c r="G650" i="1"/>
  <c r="G652" i="1"/>
  <c r="H652" i="1"/>
  <c r="G653" i="1"/>
  <c r="H653" i="1"/>
  <c r="G654" i="1"/>
  <c r="H654" i="1"/>
  <c r="H655" i="1"/>
  <c r="I257" i="1"/>
  <c r="I271" i="1" s="1"/>
  <c r="C26" i="10"/>
  <c r="L290" i="1"/>
  <c r="A40" i="12"/>
  <c r="D12" i="13"/>
  <c r="C12" i="13" s="1"/>
  <c r="D15" i="13"/>
  <c r="C15" i="13" s="1"/>
  <c r="D7" i="13"/>
  <c r="C7" i="13" s="1"/>
  <c r="D17" i="13"/>
  <c r="C17" i="13" s="1"/>
  <c r="E8" i="13"/>
  <c r="C8" i="13" s="1"/>
  <c r="C91" i="2"/>
  <c r="D31" i="2"/>
  <c r="F18" i="2"/>
  <c r="E103" i="2"/>
  <c r="E62" i="2"/>
  <c r="E31" i="2"/>
  <c r="G62" i="2"/>
  <c r="E13" i="13"/>
  <c r="C13" i="13" s="1"/>
  <c r="E78" i="2"/>
  <c r="L433" i="1"/>
  <c r="I169" i="1"/>
  <c r="H169" i="1"/>
  <c r="I476" i="1"/>
  <c r="H625" i="1" s="1"/>
  <c r="J625" i="1" s="1"/>
  <c r="G476" i="1"/>
  <c r="H623" i="1" s="1"/>
  <c r="J623" i="1" s="1"/>
  <c r="F169" i="1"/>
  <c r="J140" i="1"/>
  <c r="F571" i="1"/>
  <c r="K545" i="1"/>
  <c r="C29" i="10"/>
  <c r="L393" i="1"/>
  <c r="F22" i="13"/>
  <c r="J545" i="1"/>
  <c r="H338" i="1"/>
  <c r="H352" i="1" s="1"/>
  <c r="H192" i="1"/>
  <c r="L309" i="1"/>
  <c r="J636" i="1"/>
  <c r="G36" i="2"/>
  <c r="C22" i="13"/>
  <c r="C138" i="2"/>
  <c r="D18" i="2" l="1"/>
  <c r="G645" i="1"/>
  <c r="J645" i="1" s="1"/>
  <c r="C15" i="10"/>
  <c r="J617" i="1"/>
  <c r="C18" i="2"/>
  <c r="J655" i="1"/>
  <c r="K598" i="1"/>
  <c r="G647" i="1" s="1"/>
  <c r="J649" i="1"/>
  <c r="H545" i="1"/>
  <c r="H552" i="1"/>
  <c r="L539" i="1"/>
  <c r="L534" i="1"/>
  <c r="I545" i="1"/>
  <c r="K549" i="1"/>
  <c r="G545" i="1"/>
  <c r="L524" i="1"/>
  <c r="F552" i="1"/>
  <c r="H476" i="1"/>
  <c r="H624" i="1" s="1"/>
  <c r="F476" i="1"/>
  <c r="H622" i="1" s="1"/>
  <c r="J639" i="1"/>
  <c r="L427" i="1"/>
  <c r="L434" i="1" s="1"/>
  <c r="G638" i="1" s="1"/>
  <c r="J638" i="1" s="1"/>
  <c r="J643" i="1"/>
  <c r="C17" i="10"/>
  <c r="A31" i="12"/>
  <c r="L270" i="1"/>
  <c r="C123" i="2"/>
  <c r="C20" i="10"/>
  <c r="C18" i="10"/>
  <c r="C16" i="10"/>
  <c r="K257" i="1"/>
  <c r="K271" i="1" s="1"/>
  <c r="D5" i="13"/>
  <c r="C5" i="13" s="1"/>
  <c r="G257" i="1"/>
  <c r="G271" i="1" s="1"/>
  <c r="C109" i="2"/>
  <c r="C115" i="2" s="1"/>
  <c r="F257" i="1"/>
  <c r="F271" i="1" s="1"/>
  <c r="F192" i="1"/>
  <c r="D91" i="2"/>
  <c r="C35" i="10"/>
  <c r="F112" i="1"/>
  <c r="C70" i="2"/>
  <c r="C81" i="2" s="1"/>
  <c r="J622" i="1"/>
  <c r="J640" i="1"/>
  <c r="J641" i="1"/>
  <c r="I662" i="1"/>
  <c r="E128" i="2"/>
  <c r="E33" i="13"/>
  <c r="D35" i="13" s="1"/>
  <c r="C16" i="13"/>
  <c r="J624" i="1"/>
  <c r="K550" i="1"/>
  <c r="G552" i="1"/>
  <c r="H112" i="1"/>
  <c r="D29" i="13"/>
  <c r="C29" i="13" s="1"/>
  <c r="G651" i="1"/>
  <c r="J651" i="1" s="1"/>
  <c r="G624" i="1"/>
  <c r="K500" i="1"/>
  <c r="I460" i="1"/>
  <c r="I452" i="1"/>
  <c r="D145" i="2"/>
  <c r="C125" i="2"/>
  <c r="C119" i="2"/>
  <c r="E132" i="2"/>
  <c r="H662" i="1"/>
  <c r="H664" i="1" s="1"/>
  <c r="G661" i="1"/>
  <c r="L211" i="1"/>
  <c r="L257" i="1" s="1"/>
  <c r="L362" i="1"/>
  <c r="E111" i="2"/>
  <c r="E115" i="2" s="1"/>
  <c r="C62" i="2"/>
  <c r="C63" i="2" s="1"/>
  <c r="F661" i="1"/>
  <c r="H25" i="13"/>
  <c r="E81" i="2"/>
  <c r="E63" i="2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L338" i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L352" i="1" l="1"/>
  <c r="G633" i="1" s="1"/>
  <c r="J633" i="1" s="1"/>
  <c r="I193" i="1"/>
  <c r="G630" i="1" s="1"/>
  <c r="J630" i="1" s="1"/>
  <c r="F193" i="1"/>
  <c r="G627" i="1" s="1"/>
  <c r="J627" i="1" s="1"/>
  <c r="G104" i="2"/>
  <c r="J647" i="1"/>
  <c r="K552" i="1"/>
  <c r="L545" i="1"/>
  <c r="H646" i="1"/>
  <c r="J646" i="1" s="1"/>
  <c r="E145" i="2"/>
  <c r="L271" i="1"/>
  <c r="G632" i="1" s="1"/>
  <c r="J632" i="1" s="1"/>
  <c r="C128" i="2"/>
  <c r="C145" i="2" s="1"/>
  <c r="C28" i="10"/>
  <c r="D22" i="10" s="1"/>
  <c r="C104" i="2"/>
  <c r="I661" i="1"/>
  <c r="G664" i="1"/>
  <c r="C36" i="10"/>
  <c r="H672" i="1"/>
  <c r="C6" i="10" s="1"/>
  <c r="H667" i="1"/>
  <c r="F660" i="1"/>
  <c r="I461" i="1"/>
  <c r="H642" i="1" s="1"/>
  <c r="J642" i="1" s="1"/>
  <c r="D31" i="13"/>
  <c r="C31" i="13" s="1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4" i="10" l="1"/>
  <c r="D23" i="10"/>
  <c r="D18" i="10"/>
  <c r="D27" i="10"/>
  <c r="D26" i="10"/>
  <c r="D12" i="10"/>
  <c r="C30" i="10"/>
  <c r="D20" i="10"/>
  <c r="D25" i="10"/>
  <c r="D10" i="10"/>
  <c r="D15" i="10"/>
  <c r="D19" i="10"/>
  <c r="D13" i="10"/>
  <c r="D17" i="10"/>
  <c r="D16" i="10"/>
  <c r="D11" i="10"/>
  <c r="D21" i="10"/>
  <c r="G667" i="1"/>
  <c r="G672" i="1"/>
  <c r="C5" i="10" s="1"/>
  <c r="D33" i="13"/>
  <c r="D36" i="13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<sst xmlns="http://schemas.openxmlformats.org/spreadsheetml/2006/main" count="3965" uniqueCount="913">
  <si>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</si>
  <si>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</si>
  <si>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</si>
  <si>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</si>
  <si>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</si>
  <si>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</si>
  <si>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</si>
  <si>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</si>
  <si>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</si>
  <si>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</si>
  <si>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</si>
  <si>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</si>
  <si>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</si>
  <si>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</si>
  <si>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</si>
  <si>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</si>
  <si>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</si>
  <si>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</si>
  <si>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</si>
  <si>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</si>
  <si>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</si>
  <si>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</si>
  <si>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</si>
  <si>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</si>
  <si>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</si>
  <si>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</si>
  <si>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</si>
  <si>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</si>
  <si>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</si>
  <si>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</si>
  <si>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</si>
  <si>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</si>
  <si>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</si>
  <si>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</si>
  <si>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</si>
  <si>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</si>
  <si>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</si>
  <si>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</si>
  <si>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</si>
  <si>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</si>
  <si>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</si>
  <si>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</si>
  <si>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</si>
  <si>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</si>
  <si>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</si>
  <si>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</si>
  <si>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</si>
  <si>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</si>
  <si>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</si>
  <si>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</si>
  <si>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</si>
  <si>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</si>
  <si>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</si>
  <si>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</si>
  <si>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</si>
  <si>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</si>
  <si>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</si>
  <si>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</si>
  <si>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</si>
  <si>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</si>
  <si>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</si>
  <si>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</si>
  <si>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</si>
  <si>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</si>
  <si>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</si>
  <si>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</si>
  <si>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</si>
  <si>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</si>
  <si>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</si>
  <si>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</si>
  <si>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</si>
  <si>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</si>
  <si>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</si>
  <si>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</si>
  <si>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</si>
  <si>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</si>
  <si>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</si>
  <si>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</si>
  <si>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</si>
  <si>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</si>
  <si>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</si>
  <si>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</si>
  <si>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</si>
  <si>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</si>
  <si>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</si>
  <si>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</si>
  <si>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</si>
  <si>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</si>
  <si>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</si>
  <si>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</si>
  <si>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</si>
  <si>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</si>
  <si>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</si>
  <si>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</si>
  <si>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</si>
  <si>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</si>
  <si>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</si>
  <si>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</si>
  <si>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</si>
  <si>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</si>
  <si>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</si>
  <si>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</si>
  <si>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</si>
  <si>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</si>
  <si>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</si>
  <si>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</si>
  <si>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</si>
  <si>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</si>
  <si>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</si>
  <si>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</si>
  <si>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</si>
  <si>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</si>
  <si>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</si>
  <si>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</si>
  <si>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</si>
  <si>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</si>
  <si>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</si>
  <si>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</si>
  <si>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</si>
  <si>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</si>
  <si>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</si>
  <si>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</si>
  <si>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</si>
  <si>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</si>
  <si>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</si>
  <si>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</si>
  <si>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</si>
  <si>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</si>
  <si>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</si>
  <si>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</si>
  <si>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</si>
  <si>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</si>
  <si>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</si>
  <si>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</si>
  <si>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</si>
  <si>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</si>
  <si>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</si>
  <si>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</si>
  <si>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</si>
  <si>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</si>
  <si>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</si>
  <si>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</si>
  <si>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</si>
  <si>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</si>
  <si>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</si>
  <si>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</si>
  <si>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</si>
  <si>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</si>
  <si>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</si>
  <si>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</si>
  <si>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</si>
  <si>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</si>
  <si>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</si>
  <si>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</si>
  <si>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</si>
  <si>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</si>
  <si>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</si>
  <si>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</si>
  <si>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</si>
  <si>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</si>
  <si>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</si>
  <si>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</si>
  <si>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</si>
  <si>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</si>
  <si>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</si>
  <si>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</si>
  <si>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</si>
  <si>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</si>
  <si>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</si>
  <si>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</si>
  <si>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</si>
  <si>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</si>
  <si>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</si>
  <si>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</si>
  <si>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</si>
  <si>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</si>
  <si>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</si>
  <si>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</si>
  <si>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</si>
  <si>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</si>
  <si>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</si>
  <si>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</si>
  <si>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</si>
  <si>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</si>
  <si>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</si>
  <si>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</si>
  <si>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</si>
  <si>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</si>
  <si>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</si>
  <si>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</si>
  <si>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</si>
  <si>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</si>
  <si>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</si>
  <si>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</si>
  <si>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</si>
  <si>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</si>
  <si>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</si>
  <si>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</si>
  <si>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</si>
  <si>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</si>
  <si>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</si>
  <si>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</si>
  <si>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</si>
  <si>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</si>
  <si>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</si>
  <si>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</si>
  <si>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</si>
  <si>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</si>
  <si>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</si>
  <si>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</si>
  <si>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</si>
  <si>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</si>
  <si>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</si>
  <si>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</si>
  <si>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</si>
  <si>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</si>
  <si>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</si>
  <si>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</si>
  <si>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</si>
  <si>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</si>
  <si>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</si>
  <si>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</si>
  <si>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</si>
  <si>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</si>
  <si>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</si>
  <si>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</si>
  <si>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</si>
  <si>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</si>
  <si>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</si>
  <si>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</si>
  <si>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</si>
  <si>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</si>
  <si>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</si>
  <si>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</si>
  <si>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</si>
  <si>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</si>
  <si>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</si>
  <si>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</si>
  <si>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</si>
  <si>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</si>
  <si>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</si>
  <si>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</si>
  <si>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</si>
  <si>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</si>
  <si>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</si>
  <si>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</si>
  <si>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</si>
  <si>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</si>
  <si>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</si>
  <si>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</si>
  <si>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</si>
  <si>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</si>
  <si>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</si>
  <si>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</si>
  <si>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</si>
  <si>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</si>
  <si>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</si>
  <si>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</si>
  <si>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</si>
  <si>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</si>
  <si>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</si>
  <si>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</si>
  <si>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</si>
  <si>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</si>
  <si>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</si>
  <si>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</si>
  <si>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</si>
  <si>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</si>
  <si>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</si>
  <si>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</si>
  <si>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</si>
  <si>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</si>
  <si>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</si>
  <si>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</si>
  <si>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</si>
  <si>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</si>
  <si>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</si>
  <si>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</si>
  <si>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</si>
  <si>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</si>
  <si>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</si>
  <si>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</si>
  <si>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</si>
  <si>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</si>
  <si>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</si>
  <si>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</si>
  <si>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</si>
  <si>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</si>
  <si>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</si>
  <si>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</si>
  <si>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</si>
  <si>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</si>
  <si>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</si>
  <si>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</si>
  <si>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</si>
  <si>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</si>
  <si>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</si>
  <si>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</si>
  <si>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</si>
  <si>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</si>
  <si>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</si>
  <si>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</si>
  <si>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</si>
  <si>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</si>
  <si>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</si>
  <si>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</si>
  <si>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</si>
  <si>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</si>
  <si>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</si>
  <si>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</si>
  <si>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</si>
  <si>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</si>
  <si>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</si>
  <si>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</si>
  <si>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</si>
  <si>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</si>
  <si>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</si>
  <si>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</si>
  <si>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</si>
  <si>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</si>
  <si>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</si>
  <si>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</si>
  <si>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</si>
  <si>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</si>
  <si>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</si>
  <si>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</si>
  <si>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</si>
  <si>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</si>
  <si>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</si>
  <si>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</si>
  <si>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</si>
  <si>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</si>
  <si>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</si>
  <si>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</si>
  <si>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</si>
  <si>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</si>
  <si>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</si>
  <si>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</si>
  <si>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</si>
  <si>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</si>
  <si>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</si>
  <si>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</si>
  <si>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</si>
  <si>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</si>
  <si>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</si>
  <si>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</si>
  <si>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</si>
  <si>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</si>
  <si>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</si>
  <si>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</si>
  <si>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</si>
  <si>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</si>
  <si>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</si>
  <si>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</si>
  <si>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</si>
  <si>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</si>
  <si>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</si>
  <si>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</si>
  <si>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</si>
  <si>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</si>
  <si>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</si>
  <si>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</si>
  <si>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</si>
  <si>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</si>
  <si>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</si>
  <si>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</si>
  <si>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</si>
  <si>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</si>
  <si>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</si>
  <si>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</si>
  <si>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</si>
  <si>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</si>
  <si>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</si>
  <si>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</si>
  <si>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</si>
  <si>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</si>
  <si>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</si>
  <si>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</si>
  <si>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</si>
  <si>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</si>
  <si>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</si>
  <si>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</si>
  <si>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</si>
  <si>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</si>
  <si>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</si>
  <si>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</si>
  <si>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</si>
  <si>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</si>
  <si>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</si>
  <si>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</si>
  <si>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</si>
  <si>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</si>
  <si>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</si>
  <si>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</si>
  <si>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</si>
  <si>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</si>
  <si>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</si>
  <si>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</si>
  <si>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</si>
  <si>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</si>
  <si>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</si>
  <si>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</si>
  <si>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</si>
  <si>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</si>
  <si>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</si>
  <si>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</si>
  <si>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</si>
  <si>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</si>
  <si>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</si>
  <si>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</si>
  <si>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</si>
  <si>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</si>
  <si>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</si>
  <si>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</si>
  <si>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</si>
  <si>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</si>
  <si>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</si>
  <si>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</si>
  <si>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</si>
  <si>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</si>
  <si>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</si>
  <si>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</si>
  <si>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</si>
  <si>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</si>
  <si>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</si>
  <si>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</si>
  <si>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</si>
  <si>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</si>
  <si>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</si>
  <si>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</si>
  <si>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</si>
  <si>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</si>
  <si>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</si>
  <si>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</si>
  <si>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</si>
  <si>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</si>
  <si>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</si>
  <si>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</si>
  <si>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</si>
  <si>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</si>
  <si>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</si>
  <si>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</si>
  <si>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</si>
  <si>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</si>
  <si>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</si>
  <si>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</si>
  <si>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</si>
  <si>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</si>
  <si>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</si>
  <si>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</si>
  <si>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</si>
  <si>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</si>
  <si>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</si>
  <si>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</si>
  <si>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</si>
  <si>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</si>
  <si>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</si>
  <si>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</si>
  <si>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</si>
  <si>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</si>
  <si>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</si>
  <si>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</si>
  <si>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</si>
  <si>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</si>
  <si>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</si>
  <si>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</si>
  <si>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</si>
  <si>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</si>
  <si>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</si>
  <si>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</si>
  <si>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</si>
  <si>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</si>
  <si>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</si>
  <si>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</si>
  <si>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</si>
  <si>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</si>
  <si>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</si>
  <si>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</si>
  <si>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</si>
  <si>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</si>
  <si>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</si>
  <si>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</si>
  <si>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</si>
  <si>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</si>
  <si>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</si>
  <si>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</si>
  <si>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</si>
  <si>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</si>
  <si>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</si>
  <si>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</si>
  <si>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</si>
  <si>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</si>
  <si>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</si>
  <si>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</si>
  <si>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</si>
  <si>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</si>
  <si>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</si>
  <si>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</si>
  <si>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</si>
  <si>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</si>
  <si>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</si>
  <si>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</si>
  <si>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</si>
  <si>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</si>
  <si>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</si>
  <si>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</si>
  <si>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</si>
  <si>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</si>
  <si>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</si>
  <si>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</si>
  <si>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</si>
  <si>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</si>
  <si>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</si>
  <si>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</si>
  <si>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</si>
  <si>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</si>
  <si>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</si>
  <si>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</si>
  <si>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</si>
  <si>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</si>
  <si>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</si>
  <si>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</si>
  <si>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</si>
  <si>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</si>
  <si>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</si>
  <si>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</si>
  <si>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</si>
  <si>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</si>
  <si>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</si>
  <si>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</si>
  <si>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</si>
  <si>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</si>
  <si>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</si>
  <si>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</si>
  <si>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</si>
  <si>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</si>
  <si>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</si>
  <si>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</si>
  <si>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</si>
  <si>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</si>
  <si>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</si>
  <si>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</si>
  <si>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</si>
  <si>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</si>
  <si>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</si>
  <si>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</si>
  <si>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</si>
  <si>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</si>
  <si>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</si>
  <si>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</si>
  <si>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</si>
  <si>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</si>
  <si>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</si>
  <si>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</si>
  <si>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</si>
  <si>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</si>
  <si>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</si>
  <si>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</si>
  <si>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</si>
  <si>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</si>
  <si>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</si>
  <si>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</si>
  <si>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</si>
  <si>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</si>
  <si>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</si>
  <si>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</si>
  <si>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</si>
  <si>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</si>
  <si>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</si>
  <si>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</si>
  <si>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</si>
  <si>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</si>
  <si>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</si>
  <si>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</si>
  <si>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</si>
  <si>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</si>
  <si>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</si>
  <si>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</si>
  <si>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</si>
  <si>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</si>
  <si>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</si>
  <si>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</si>
  <si>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</si>
  <si>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</si>
  <si>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</si>
  <si>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</si>
  <si>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</si>
  <si>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</si>
  <si>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</si>
  <si>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</si>
  <si>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</si>
  <si>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</si>
  <si>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</si>
  <si>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</si>
  <si>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</si>
  <si>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</si>
  <si>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</si>
  <si>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</si>
  <si>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</si>
  <si>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</si>
  <si>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</si>
  <si>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</si>
  <si>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</si>
  <si>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</si>
  <si>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</si>
  <si>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</si>
  <si>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</si>
  <si>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</si>
  <si>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</si>
  <si>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</si>
  <si>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</si>
  <si>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</si>
  <si>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</si>
  <si>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</si>
  <si>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</si>
  <si>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</si>
  <si>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</si>
  <si>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</si>
  <si>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</si>
  <si>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</si>
  <si>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</si>
  <si>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</si>
  <si>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</si>
  <si>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</si>
  <si>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</si>
  <si>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</si>
  <si>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</si>
  <si>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</si>
  <si>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</si>
  <si>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</si>
  <si>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</si>
  <si>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</si>
  <si>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</si>
  <si>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</si>
  <si>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</si>
  <si>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</si>
  <si>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</si>
  <si>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</si>
  <si>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</si>
  <si>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</si>
  <si>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</si>
  <si>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</si>
  <si>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</si>
  <si>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</si>
  <si>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</si>
  <si>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</si>
  <si>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</si>
  <si>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</si>
  <si>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</si>
  <si>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</si>
  <si>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</si>
  <si>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</si>
  <si>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</si>
  <si>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</si>
  <si>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</si>
  <si>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</si>
  <si>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</si>
  <si>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</si>
  <si>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</si>
  <si>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</si>
  <si>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</si>
  <si>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</si>
  <si>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</si>
  <si>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</si>
  <si>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</si>
  <si>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</si>
  <si>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</si>
  <si>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</si>
  <si>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</si>
  <si>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</si>
  <si>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</si>
  <si>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</si>
  <si>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</si>
  <si>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</si>
  <si>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</si>
  <si>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</si>
  <si>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</si>
  <si>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</si>
  <si>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</si>
  <si>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</si>
  <si>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</si>
  <si>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</si>
  <si>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</si>
  <si>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</si>
  <si>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</si>
  <si>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</si>
  <si>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</si>
  <si>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</si>
  <si>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</si>
  <si>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</si>
  <si>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</si>
  <si>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</si>
  <si>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</si>
  <si>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</si>
  <si>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</si>
  <si>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</si>
  <si>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</si>
  <si>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</si>
  <si>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</si>
  <si>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</si>
  <si>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</si>
  <si>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</si>
  <si>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</si>
  <si>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</si>
  <si>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</si>
  <si>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</si>
  <si>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</si>
  <si>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</si>
  <si>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</si>
  <si>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</si>
  <si>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</si>
  <si>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</si>
  <si>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</si>
  <si>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</si>
  <si>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</si>
  <si>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</si>
  <si>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</si>
  <si>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</si>
  <si>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</si>
  <si>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</si>
  <si>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</si>
  <si>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</si>
  <si>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</si>
  <si>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</si>
  <si>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</si>
  <si>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</si>
  <si>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</si>
  <si>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</si>
  <si>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</si>
  <si>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</si>
  <si>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</si>
  <si>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</si>
  <si>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</si>
  <si>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</si>
  <si>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</si>
  <si>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</si>
  <si>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</si>
  <si>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</si>
  <si>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</si>
  <si>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</si>
  <si>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</si>
  <si>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</si>
  <si>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</si>
  <si>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</si>
  <si>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</si>
  <si>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</si>
  <si>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</si>
  <si>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</si>
  <si>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</si>
  <si>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</si>
  <si>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</si>
  <si>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</si>
  <si>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</si>
  <si>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</si>
  <si>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</si>
  <si>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</si>
  <si>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</si>
  <si>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</si>
  <si>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</si>
  <si>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</si>
  <si>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</si>
  <si>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</si>
  <si>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</si>
  <si>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</si>
  <si>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</si>
  <si>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</si>
  <si>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</si>
  <si>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</si>
  <si>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</si>
  <si>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</si>
  <si>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</si>
  <si>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</si>
  <si>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</si>
  <si>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</si>
  <si>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</si>
  <si>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</si>
  <si>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</si>
  <si>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</si>
  <si>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</si>
  <si>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</si>
  <si>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</si>
  <si>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</si>
  <si>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</si>
  <si>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</si>
  <si>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</si>
  <si>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</si>
  <si>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</si>
  <si>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</si>
  <si>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</si>
  <si>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</si>
  <si>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</si>
  <si>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</si>
  <si>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</si>
  <si>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</si>
  <si>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</si>
  <si>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</si>
  <si>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</si>
  <si>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</si>
  <si>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</si>
  <si>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</si>
  <si>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</si>
  <si>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</si>
  <si>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</si>
  <si>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</si>
  <si>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</si>
  <si>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</si>
  <si>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</si>
  <si>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</si>
  <si>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</si>
  <si>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</si>
  <si>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</si>
  <si>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</si>
  <si>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</si>
  <si>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</si>
  <si>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</si>
  <si>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</si>
  <si>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</si>
  <si>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</si>
  <si>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</si>
  <si>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</si>
  <si>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</si>
  <si>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</si>
  <si>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</si>
  <si>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</si>
  <si>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</si>
  <si>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</si>
  <si>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</si>
  <si>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</si>
  <si>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</si>
  <si>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</si>
  <si>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</si>
  <si>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</si>
  <si>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</si>
  <si>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</si>
  <si>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</si>
  <si>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</si>
  <si>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</si>
  <si>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</si>
  <si>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</si>
  <si>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</si>
  <si>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</si>
  <si>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</si>
  <si>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</si>
  <si>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</si>
  <si>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</si>
  <si>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</si>
  <si>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</si>
  <si>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</si>
  <si>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</si>
  <si>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</si>
  <si>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</si>
  <si>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</si>
  <si>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</si>
  <si>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</si>
  <si>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</si>
  <si>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</si>
  <si>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</si>
  <si>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</si>
  <si>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</si>
  <si>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</si>
  <si>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</si>
  <si>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</si>
  <si>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</si>
  <si>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</si>
  <si>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</si>
  <si>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</si>
  <si>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</si>
  <si>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</si>
  <si>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</si>
  <si>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</si>
  <si>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</si>
  <si>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</si>
  <si>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</si>
  <si>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</si>
  <si>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</si>
  <si>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</si>
  <si>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</si>
  <si>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</si>
  <si>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</si>
  <si>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</si>
  <si>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</si>
  <si>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</si>
  <si>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</si>
  <si>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</si>
  <si>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</si>
  <si>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</si>
  <si>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</si>
  <si>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</si>
  <si>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</si>
  <si>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</si>
  <si>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</si>
  <si>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</si>
  <si>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</si>
  <si>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</si>
  <si>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</si>
  <si>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</si>
  <si>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</si>
  <si>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</si>
  <si>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</si>
  <si>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</si>
  <si>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</si>
  <si>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</si>
  <si>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</si>
  <si>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</si>
  <si>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</si>
  <si>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</si>
  <si>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</si>
  <si>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</si>
  <si>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</si>
  <si>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</si>
  <si>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</si>
  <si>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</si>
  <si>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LAFAYETTE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</si>
</sst>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5" zoomScaleNormal="12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118" sqref="F11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288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27940.34</v>
      </c>
      <c r="G9" s="18"/>
      <c r="H9" s="18"/>
      <c r="I9" s="18"/>
      <c r="J9" s="67">
        <f>SUM(I439)</f>
        <v>221021.47000000003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8355.0499999999993</v>
      </c>
      <c r="G12" s="18">
        <v>-1070.03</v>
      </c>
      <c r="H12" s="18">
        <v>-7285.02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809.58</v>
      </c>
      <c r="H13" s="18">
        <v>8086.25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17658.68</v>
      </c>
      <c r="G14" s="18">
        <v>260.45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53954.07</v>
      </c>
      <c r="G19" s="41">
        <f>SUM(G9:G18)</f>
        <v>0</v>
      </c>
      <c r="H19" s="41">
        <f>SUM(H9:H18)</f>
        <v>801.22999999999956</v>
      </c>
      <c r="I19" s="41">
        <f>SUM(I9:I18)</f>
        <v>0</v>
      </c>
      <c r="J19" s="41">
        <f>SUM(J9:J18)</f>
        <v>221021.47000000003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119772.79</v>
      </c>
      <c r="G24" s="18"/>
      <c r="H24" s="18">
        <v>531.25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269.98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119772.79</v>
      </c>
      <c r="G32" s="41">
        <f>SUM(G22:G31)</f>
        <v>0</v>
      </c>
      <c r="H32" s="41">
        <f>SUM(H22:H31)</f>
        <v>801.23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221021.47000000003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-65818.720000000001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-65818.720000000001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221021.47000000003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53954.069999999992</v>
      </c>
      <c r="G52" s="41">
        <f>G51+G32</f>
        <v>0</v>
      </c>
      <c r="H52" s="41">
        <f>H51+H32</f>
        <v>801.23</v>
      </c>
      <c r="I52" s="41">
        <f>I51+I32</f>
        <v>0</v>
      </c>
      <c r="J52" s="41">
        <f>J51+J32</f>
        <v>221021.47000000003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1723666</v>
      </c>
      <c r="G57" s="18"/>
      <c r="H57" s="18"/>
      <c r="I57" s="18"/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1723666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247.31</v>
      </c>
      <c r="G96" s="18"/>
      <c r="H96" s="18"/>
      <c r="I96" s="18"/>
      <c r="J96" s="18">
        <v>5406.54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24833.68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4539.79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4787.1000000000004</v>
      </c>
      <c r="G111" s="41">
        <f>SUM(G96:G110)</f>
        <v>24833.68</v>
      </c>
      <c r="H111" s="41">
        <f>SUM(H96:H110)</f>
        <v>0</v>
      </c>
      <c r="I111" s="41">
        <f>SUM(I96:I110)</f>
        <v>0</v>
      </c>
      <c r="J111" s="41">
        <f>SUM(J96:J110)</f>
        <v>5406.54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1728453.1</v>
      </c>
      <c r="G112" s="41">
        <f>G60+G111</f>
        <v>24833.68</v>
      </c>
      <c r="H112" s="41">
        <f>H60+H79+H94+H111</f>
        <v>0</v>
      </c>
      <c r="I112" s="41">
        <f>I60+I111</f>
        <v>0</v>
      </c>
      <c r="J112" s="41">
        <f>J60+J111</f>
        <v>5406.54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656650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656650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549.76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549.76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656650</v>
      </c>
      <c r="G140" s="41">
        <f>G121+SUM(G136:G137)</f>
        <v>549.76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13404.17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55362.400000000001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10630.28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1638.65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1638.65</v>
      </c>
      <c r="G162" s="41">
        <f>SUM(G150:G161)</f>
        <v>10630.28</v>
      </c>
      <c r="H162" s="41">
        <f>SUM(H150:H161)</f>
        <v>68766.570000000007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19179.099999999999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20817.75</v>
      </c>
      <c r="G169" s="41">
        <f>G147+G162+SUM(G163:G168)</f>
        <v>10630.28</v>
      </c>
      <c r="H169" s="41">
        <f>H147+H162+SUM(H163:H168)</f>
        <v>68766.570000000007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11615.16</v>
      </c>
      <c r="H179" s="18"/>
      <c r="I179" s="18"/>
      <c r="J179" s="18">
        <v>32200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11615.16</v>
      </c>
      <c r="H183" s="41">
        <f>SUM(H179:H182)</f>
        <v>0</v>
      </c>
      <c r="I183" s="41">
        <f>SUM(I179:I182)</f>
        <v>0</v>
      </c>
      <c r="J183" s="41">
        <f>SUM(J179:J182)</f>
        <v>32200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62200</v>
      </c>
      <c r="G186" s="18"/>
      <c r="H186" s="18"/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62200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62200</v>
      </c>
      <c r="G192" s="41">
        <f>G183+SUM(G188:G191)</f>
        <v>11615.16</v>
      </c>
      <c r="H192" s="41">
        <f>+H183+SUM(H188:H191)</f>
        <v>0</v>
      </c>
      <c r="I192" s="41">
        <f>I177+I183+SUM(I188:I191)</f>
        <v>0</v>
      </c>
      <c r="J192" s="41">
        <f>J183</f>
        <v>32200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2468120.85</v>
      </c>
      <c r="G193" s="47">
        <f>G112+G140+G169+G192</f>
        <v>47628.880000000005</v>
      </c>
      <c r="H193" s="47">
        <f>H112+H140+H169+H192</f>
        <v>68766.570000000007</v>
      </c>
      <c r="I193" s="47">
        <f>I112+I140+I169+I192</f>
        <v>0</v>
      </c>
      <c r="J193" s="47">
        <f>J112+J140+J192</f>
        <v>37606.54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692115.94</v>
      </c>
      <c r="G197" s="18">
        <v>301255.24</v>
      </c>
      <c r="H197" s="18">
        <v>182.97</v>
      </c>
      <c r="I197" s="18">
        <v>15418.6</v>
      </c>
      <c r="J197" s="18">
        <v>54272.18</v>
      </c>
      <c r="K197" s="18"/>
      <c r="L197" s="19">
        <f>SUM(F197:K197)</f>
        <v>1063244.93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189221.7</v>
      </c>
      <c r="G198" s="18">
        <v>100402.47</v>
      </c>
      <c r="H198" s="18">
        <v>6961</v>
      </c>
      <c r="I198" s="18">
        <v>1747.09</v>
      </c>
      <c r="J198" s="18"/>
      <c r="K198" s="18"/>
      <c r="L198" s="19">
        <f>SUM(F198:K198)</f>
        <v>298332.26000000007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3320</v>
      </c>
      <c r="G200" s="18">
        <v>666.32</v>
      </c>
      <c r="H200" s="18"/>
      <c r="I200" s="18"/>
      <c r="J200" s="18"/>
      <c r="K200" s="18">
        <v>1636.82</v>
      </c>
      <c r="L200" s="19">
        <f>SUM(F200:K200)</f>
        <v>5623.14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81884.22</v>
      </c>
      <c r="G202" s="18">
        <v>50847.86</v>
      </c>
      <c r="H202" s="18">
        <v>122502.32</v>
      </c>
      <c r="I202" s="18">
        <v>927.7</v>
      </c>
      <c r="J202" s="18">
        <v>0</v>
      </c>
      <c r="K202" s="18">
        <v>219</v>
      </c>
      <c r="L202" s="19">
        <f t="shared" ref="L202:L208" si="0">SUM(F202:K202)</f>
        <v>256381.10000000003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72862.899999999994</v>
      </c>
      <c r="G203" s="18">
        <v>16888.37</v>
      </c>
      <c r="H203" s="18"/>
      <c r="I203" s="18">
        <v>4092.36</v>
      </c>
      <c r="J203" s="18"/>
      <c r="K203" s="18">
        <v>5903.1</v>
      </c>
      <c r="L203" s="19">
        <f t="shared" si="0"/>
        <v>99746.73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1700</v>
      </c>
      <c r="G204" s="18">
        <v>233.93</v>
      </c>
      <c r="H204" s="18">
        <v>169837.08</v>
      </c>
      <c r="I204" s="18"/>
      <c r="J204" s="18"/>
      <c r="K204" s="18">
        <v>5168.46</v>
      </c>
      <c r="L204" s="19">
        <f t="shared" si="0"/>
        <v>176939.46999999997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133465</v>
      </c>
      <c r="G205" s="18">
        <v>72595.64</v>
      </c>
      <c r="H205" s="18">
        <v>14424.91</v>
      </c>
      <c r="I205" s="18">
        <v>7051.88</v>
      </c>
      <c r="J205" s="18"/>
      <c r="K205" s="18"/>
      <c r="L205" s="19">
        <f t="shared" si="0"/>
        <v>227537.43000000002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66702.09</v>
      </c>
      <c r="G207" s="18">
        <v>18762.13</v>
      </c>
      <c r="H207" s="18">
        <v>102328.35</v>
      </c>
      <c r="I207" s="18">
        <v>63639.68</v>
      </c>
      <c r="J207" s="18">
        <v>15149</v>
      </c>
      <c r="K207" s="18">
        <v>244.89</v>
      </c>
      <c r="L207" s="19">
        <f t="shared" si="0"/>
        <v>266826.14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146503.45000000001</v>
      </c>
      <c r="I208" s="18"/>
      <c r="J208" s="18"/>
      <c r="K208" s="18"/>
      <c r="L208" s="19">
        <f t="shared" si="0"/>
        <v>146503.45000000001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1241271.8499999999</v>
      </c>
      <c r="G211" s="41">
        <f t="shared" si="1"/>
        <v>561651.96</v>
      </c>
      <c r="H211" s="41">
        <f t="shared" si="1"/>
        <v>562740.08000000007</v>
      </c>
      <c r="I211" s="41">
        <f t="shared" si="1"/>
        <v>92877.31</v>
      </c>
      <c r="J211" s="41">
        <f t="shared" si="1"/>
        <v>69421.179999999993</v>
      </c>
      <c r="K211" s="41">
        <f t="shared" si="1"/>
        <v>13172.27</v>
      </c>
      <c r="L211" s="41">
        <f t="shared" si="1"/>
        <v>2541134.6500000004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1241271.8499999999</v>
      </c>
      <c r="G257" s="41">
        <f t="shared" si="8"/>
        <v>561651.96</v>
      </c>
      <c r="H257" s="41">
        <f t="shared" si="8"/>
        <v>562740.08000000007</v>
      </c>
      <c r="I257" s="41">
        <f t="shared" si="8"/>
        <v>92877.31</v>
      </c>
      <c r="J257" s="41">
        <f t="shared" si="8"/>
        <v>69421.179999999993</v>
      </c>
      <c r="K257" s="41">
        <f t="shared" si="8"/>
        <v>13172.27</v>
      </c>
      <c r="L257" s="41">
        <f t="shared" si="8"/>
        <v>2541134.6500000004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11615.16</v>
      </c>
      <c r="L263" s="19">
        <f>SUM(F263:K263)</f>
        <v>11615.16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32200</v>
      </c>
      <c r="L266" s="19">
        <f t="shared" si="9"/>
        <v>32200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43815.16</v>
      </c>
      <c r="L270" s="41">
        <f t="shared" si="9"/>
        <v>43815.16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1241271.8499999999</v>
      </c>
      <c r="G271" s="42">
        <f t="shared" si="11"/>
        <v>561651.96</v>
      </c>
      <c r="H271" s="42">
        <f t="shared" si="11"/>
        <v>562740.08000000007</v>
      </c>
      <c r="I271" s="42">
        <f t="shared" si="11"/>
        <v>92877.31</v>
      </c>
      <c r="J271" s="42">
        <f t="shared" si="11"/>
        <v>69421.179999999993</v>
      </c>
      <c r="K271" s="42">
        <f t="shared" si="11"/>
        <v>56987.430000000008</v>
      </c>
      <c r="L271" s="42">
        <f t="shared" si="11"/>
        <v>2584949.8100000005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12000</v>
      </c>
      <c r="G276" s="18"/>
      <c r="H276" s="18"/>
      <c r="I276" s="18">
        <v>744.17</v>
      </c>
      <c r="J276" s="18"/>
      <c r="K276" s="18"/>
      <c r="L276" s="19">
        <f>SUM(F276:K276)</f>
        <v>12744.17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29116.799999999999</v>
      </c>
      <c r="G277" s="18">
        <v>2227.46</v>
      </c>
      <c r="H277" s="18"/>
      <c r="I277" s="18"/>
      <c r="J277" s="18"/>
      <c r="K277" s="18"/>
      <c r="L277" s="19">
        <f>SUM(F277:K277)</f>
        <v>31344.26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7743.06</v>
      </c>
      <c r="I281" s="18"/>
      <c r="J281" s="18"/>
      <c r="K281" s="18"/>
      <c r="L281" s="19">
        <f t="shared" ref="L281:L287" si="12">SUM(F281:K281)</f>
        <v>7743.06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975</v>
      </c>
      <c r="I282" s="18">
        <v>7456.06</v>
      </c>
      <c r="J282" s="18"/>
      <c r="K282" s="18">
        <v>5698.27</v>
      </c>
      <c r="L282" s="19">
        <f t="shared" si="12"/>
        <v>14129.330000000002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v>2145.75</v>
      </c>
      <c r="I283" s="18"/>
      <c r="J283" s="18"/>
      <c r="K283" s="18">
        <v>660</v>
      </c>
      <c r="L283" s="19">
        <f t="shared" si="12"/>
        <v>2805.75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41116.800000000003</v>
      </c>
      <c r="G290" s="42">
        <f t="shared" si="13"/>
        <v>2227.46</v>
      </c>
      <c r="H290" s="42">
        <f t="shared" si="13"/>
        <v>10863.810000000001</v>
      </c>
      <c r="I290" s="42">
        <f t="shared" si="13"/>
        <v>8200.23</v>
      </c>
      <c r="J290" s="42">
        <f t="shared" si="13"/>
        <v>0</v>
      </c>
      <c r="K290" s="42">
        <f t="shared" si="13"/>
        <v>6358.27</v>
      </c>
      <c r="L290" s="41">
        <f t="shared" si="13"/>
        <v>68766.570000000007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41116.800000000003</v>
      </c>
      <c r="G338" s="41">
        <f t="shared" si="20"/>
        <v>2227.46</v>
      </c>
      <c r="H338" s="41">
        <f t="shared" si="20"/>
        <v>10863.810000000001</v>
      </c>
      <c r="I338" s="41">
        <f t="shared" si="20"/>
        <v>8200.23</v>
      </c>
      <c r="J338" s="41">
        <f t="shared" si="20"/>
        <v>0</v>
      </c>
      <c r="K338" s="41">
        <f t="shared" si="20"/>
        <v>6358.27</v>
      </c>
      <c r="L338" s="41">
        <f t="shared" si="20"/>
        <v>68766.570000000007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41116.800000000003</v>
      </c>
      <c r="G352" s="41">
        <f>G338</f>
        <v>2227.46</v>
      </c>
      <c r="H352" s="41">
        <f>H338</f>
        <v>10863.810000000001</v>
      </c>
      <c r="I352" s="41">
        <f>I338</f>
        <v>8200.23</v>
      </c>
      <c r="J352" s="41">
        <f>J338</f>
        <v>0</v>
      </c>
      <c r="K352" s="47">
        <f>K338+K351</f>
        <v>6358.27</v>
      </c>
      <c r="L352" s="41">
        <f>L338+L351</f>
        <v>68766.570000000007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47628.88</v>
      </c>
      <c r="I358" s="18"/>
      <c r="J358" s="18"/>
      <c r="K358" s="18"/>
      <c r="L358" s="13">
        <f>SUM(F358:K358)</f>
        <v>47628.88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47628.88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47628.88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32200</v>
      </c>
      <c r="H396" s="18">
        <v>5406.54</v>
      </c>
      <c r="I396" s="18"/>
      <c r="J396" s="24" t="s">
        <v>288</v>
      </c>
      <c r="K396" s="24" t="s">
        <v>288</v>
      </c>
      <c r="L396" s="56">
        <f t="shared" si="26"/>
        <v>37606.54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32200</v>
      </c>
      <c r="H401" s="47">
        <f>SUM(H395:H400)</f>
        <v>5406.54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37606.54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32200</v>
      </c>
      <c r="H408" s="47">
        <f>H393+H401+H407</f>
        <v>5406.54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37606.54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/>
      <c r="H422" s="18"/>
      <c r="I422" s="18"/>
      <c r="J422" s="18"/>
      <c r="K422" s="18">
        <v>62200</v>
      </c>
      <c r="L422" s="56">
        <f t="shared" si="29"/>
        <v>62200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62200</v>
      </c>
      <c r="L427" s="47">
        <f t="shared" si="30"/>
        <v>62200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62200</v>
      </c>
      <c r="L434" s="47">
        <f t="shared" si="32"/>
        <v>62200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165837.14000000001</v>
      </c>
      <c r="G439" s="18">
        <v>55184.33</v>
      </c>
      <c r="H439" s="18"/>
      <c r="I439" s="56">
        <f t="shared" ref="I439:I445" si="33">SUM(F439:H439)</f>
        <v>221021.47000000003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165837.14000000001</v>
      </c>
      <c r="G446" s="13">
        <f>SUM(G439:G445)</f>
        <v>55184.33</v>
      </c>
      <c r="H446" s="13">
        <f>SUM(H439:H445)</f>
        <v>0</v>
      </c>
      <c r="I446" s="13">
        <f>SUM(I439:I445)</f>
        <v>221021.47000000003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165837.14000000001</v>
      </c>
      <c r="G459" s="18">
        <v>55184.33</v>
      </c>
      <c r="H459" s="18"/>
      <c r="I459" s="56">
        <f t="shared" si="34"/>
        <v>221021.47000000003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165837.14000000001</v>
      </c>
      <c r="G460" s="83">
        <f>SUM(G454:G459)</f>
        <v>55184.33</v>
      </c>
      <c r="H460" s="83">
        <f>SUM(H454:H459)</f>
        <v>0</v>
      </c>
      <c r="I460" s="83">
        <f>SUM(I454:I459)</f>
        <v>221021.47000000003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165837.14000000001</v>
      </c>
      <c r="G461" s="42">
        <f>G452+G460</f>
        <v>55184.33</v>
      </c>
      <c r="H461" s="42">
        <f>H452+H460</f>
        <v>0</v>
      </c>
      <c r="I461" s="42">
        <f>I452+I460</f>
        <v>221021.47000000003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51010.239999999998</v>
      </c>
      <c r="G465" s="18"/>
      <c r="H465" s="18"/>
      <c r="I465" s="18"/>
      <c r="J465" s="18">
        <v>245614.93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2468120.85</v>
      </c>
      <c r="G468" s="18">
        <v>47628.88</v>
      </c>
      <c r="H468" s="18">
        <v>68766.570000000007</v>
      </c>
      <c r="I468" s="18"/>
      <c r="J468" s="18">
        <v>37606.54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>
        <v>0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2468120.85</v>
      </c>
      <c r="G470" s="53">
        <f>SUM(G468:G469)</f>
        <v>47628.88</v>
      </c>
      <c r="H470" s="53">
        <f>SUM(H468:H469)</f>
        <v>68766.570000000007</v>
      </c>
      <c r="I470" s="53">
        <f>SUM(I468:I469)</f>
        <v>0</v>
      </c>
      <c r="J470" s="53">
        <f>SUM(J468:J469)</f>
        <v>37606.54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2584949.81</v>
      </c>
      <c r="G472" s="18">
        <v>47628.88</v>
      </c>
      <c r="H472" s="18">
        <v>68766.570000000007</v>
      </c>
      <c r="I472" s="18"/>
      <c r="J472" s="18">
        <v>62200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2584949.81</v>
      </c>
      <c r="G474" s="53">
        <f>SUM(G472:G473)</f>
        <v>47628.88</v>
      </c>
      <c r="H474" s="53">
        <f>SUM(H472:H473)</f>
        <v>68766.570000000007</v>
      </c>
      <c r="I474" s="53">
        <f>SUM(I472:I473)</f>
        <v>0</v>
      </c>
      <c r="J474" s="53">
        <f>SUM(J472:J473)</f>
        <v>62200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-65818.719999999739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221021.46999999997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1733206</v>
      </c>
      <c r="G513" s="24" t="s">
        <v>288</v>
      </c>
      <c r="H513" s="18">
        <v>1721585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83059</v>
      </c>
      <c r="G514" s="24" t="s">
        <v>288</v>
      </c>
      <c r="H514" s="18">
        <v>89969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1816265</v>
      </c>
      <c r="G517" s="42">
        <f>SUM(G511:G516)</f>
        <v>0</v>
      </c>
      <c r="H517" s="42">
        <f>SUM(H511:H516)</f>
        <v>1811554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218338.5</v>
      </c>
      <c r="G521" s="18">
        <v>102629.93</v>
      </c>
      <c r="H521" s="18">
        <v>6961</v>
      </c>
      <c r="I521" s="18">
        <v>1747.09</v>
      </c>
      <c r="J521" s="18"/>
      <c r="K521" s="18"/>
      <c r="L521" s="88">
        <f>SUM(F521:K521)</f>
        <v>329676.52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218338.5</v>
      </c>
      <c r="G524" s="108">
        <f t="shared" ref="G524:L524" si="36">SUM(G521:G523)</f>
        <v>102629.93</v>
      </c>
      <c r="H524" s="108">
        <f t="shared" si="36"/>
        <v>6961</v>
      </c>
      <c r="I524" s="108">
        <f t="shared" si="36"/>
        <v>1747.09</v>
      </c>
      <c r="J524" s="108">
        <f t="shared" si="36"/>
        <v>0</v>
      </c>
      <c r="K524" s="108">
        <f t="shared" si="36"/>
        <v>0</v>
      </c>
      <c r="L524" s="89">
        <f t="shared" si="36"/>
        <v>329676.52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 t="s">
        <v>286</v>
      </c>
      <c r="G526" s="18" t="s">
        <v>286</v>
      </c>
      <c r="H526" s="18">
        <v>122071.07</v>
      </c>
      <c r="I526" s="18" t="s">
        <v>286</v>
      </c>
      <c r="J526" s="18"/>
      <c r="K526" s="18" t="s">
        <v>286</v>
      </c>
      <c r="L526" s="88">
        <f>SUM(F526:K526)</f>
        <v>122071.07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122071.07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122071.07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 t="s">
        <v>286</v>
      </c>
      <c r="G531" s="18" t="s">
        <v>286</v>
      </c>
      <c r="H531" s="18" t="s">
        <v>286</v>
      </c>
      <c r="I531" s="18" t="s">
        <v>286</v>
      </c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 t="s">
        <v>286</v>
      </c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 t="s">
        <v>286</v>
      </c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5863.05</v>
      </c>
      <c r="I541" s="18"/>
      <c r="J541" s="18"/>
      <c r="K541" s="18"/>
      <c r="L541" s="88">
        <f>SUM(F541:K541)</f>
        <v>5863.05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5863.05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5863.05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218338.5</v>
      </c>
      <c r="G545" s="89">
        <f t="shared" ref="G545:L545" si="41">G524+G529+G534+G539+G544</f>
        <v>102629.93</v>
      </c>
      <c r="H545" s="89">
        <f t="shared" si="41"/>
        <v>134895.12</v>
      </c>
      <c r="I545" s="89">
        <f t="shared" si="41"/>
        <v>1747.09</v>
      </c>
      <c r="J545" s="89">
        <f t="shared" si="41"/>
        <v>0</v>
      </c>
      <c r="K545" s="89">
        <f t="shared" si="41"/>
        <v>0</v>
      </c>
      <c r="L545" s="89">
        <f t="shared" si="41"/>
        <v>457610.64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329676.52</v>
      </c>
      <c r="G549" s="87">
        <f>L526</f>
        <v>122071.07</v>
      </c>
      <c r="H549" s="87">
        <f>L531</f>
        <v>0</v>
      </c>
      <c r="I549" s="87">
        <f>L536</f>
        <v>0</v>
      </c>
      <c r="J549" s="87">
        <f>L541</f>
        <v>5863.05</v>
      </c>
      <c r="K549" s="87">
        <f>SUM(F549:J549)</f>
        <v>457610.64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329676.52</v>
      </c>
      <c r="G552" s="89">
        <f t="shared" si="42"/>
        <v>122071.07</v>
      </c>
      <c r="H552" s="89">
        <f t="shared" si="42"/>
        <v>0</v>
      </c>
      <c r="I552" s="89">
        <f t="shared" si="42"/>
        <v>0</v>
      </c>
      <c r="J552" s="89">
        <f t="shared" si="42"/>
        <v>5863.05</v>
      </c>
      <c r="K552" s="89">
        <f t="shared" si="42"/>
        <v>457610.64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133766</v>
      </c>
      <c r="I591" s="18"/>
      <c r="J591" s="18"/>
      <c r="K591" s="104">
        <f t="shared" ref="K591:K597" si="48">SUM(H591:J591)</f>
        <v>133766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5863.05</v>
      </c>
      <c r="I592" s="18"/>
      <c r="J592" s="18"/>
      <c r="K592" s="104">
        <f t="shared" si="48"/>
        <v>5863.05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6874.4</v>
      </c>
      <c r="I595" s="18"/>
      <c r="J595" s="18"/>
      <c r="K595" s="104">
        <f t="shared" si="48"/>
        <v>6874.4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146503.44999999998</v>
      </c>
      <c r="I598" s="108">
        <f>SUM(I591:I597)</f>
        <v>0</v>
      </c>
      <c r="J598" s="108">
        <f>SUM(J591:J597)</f>
        <v>0</v>
      </c>
      <c r="K598" s="108">
        <f>SUM(K591:K597)</f>
        <v>146503.44999999998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69421.179999999993</v>
      </c>
      <c r="I604" s="18"/>
      <c r="J604" s="18"/>
      <c r="K604" s="104">
        <f>SUM(H604:J604)</f>
        <v>69421.179999999993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69421.179999999993</v>
      </c>
      <c r="I605" s="108">
        <f>SUM(I602:I604)</f>
        <v>0</v>
      </c>
      <c r="J605" s="108">
        <f>SUM(J602:J604)</f>
        <v>0</v>
      </c>
      <c r="K605" s="108">
        <f>SUM(K602:K604)</f>
        <v>69421.179999999993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6043.64</v>
      </c>
      <c r="G611" s="18">
        <v>1384.47</v>
      </c>
      <c r="H611" s="18"/>
      <c r="I611" s="18"/>
      <c r="J611" s="18"/>
      <c r="K611" s="18"/>
      <c r="L611" s="88">
        <f>SUM(F611:K611)</f>
        <v>7428.1100000000006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6043.64</v>
      </c>
      <c r="G614" s="108">
        <f t="shared" si="49"/>
        <v>1384.47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7428.1100000000006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53954.07</v>
      </c>
      <c r="H617" s="109">
        <f>SUM(F52)</f>
        <v>53954.069999999992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801.22999999999956</v>
      </c>
      <c r="H619" s="109">
        <f>SUM(H52)</f>
        <v>801.23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221021.47000000003</v>
      </c>
      <c r="H621" s="109">
        <f>SUM(J52)</f>
        <v>221021.47000000003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-65818.720000000001</v>
      </c>
      <c r="H622" s="109">
        <f>F476</f>
        <v>-65818.719999999739</v>
      </c>
      <c r="I622" s="121" t="s">
        <v>101</v>
      </c>
      <c r="J622" s="109">
        <f t="shared" ref="J622:J655" si="50">G622-H622</f>
        <v>-2.6193447411060333E-10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221021.47000000003</v>
      </c>
      <c r="H626" s="109">
        <f>J476</f>
        <v>221021.46999999997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2468120.85</v>
      </c>
      <c r="H627" s="104">
        <f>SUM(F468)</f>
        <v>2468120.85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47628.880000000005</v>
      </c>
      <c r="H628" s="104">
        <f>SUM(G468)</f>
        <v>47628.88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68766.570000000007</v>
      </c>
      <c r="H629" s="104">
        <f>SUM(H468)</f>
        <v>68766.570000000007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37606.54</v>
      </c>
      <c r="H631" s="104">
        <f>SUM(J468)</f>
        <v>37606.54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2584949.8100000005</v>
      </c>
      <c r="H632" s="104">
        <f>SUM(F472)</f>
        <v>2584949.81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68766.570000000007</v>
      </c>
      <c r="H633" s="104">
        <f>SUM(H472)</f>
        <v>68766.570000000007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47628.88</v>
      </c>
      <c r="H635" s="104">
        <f>SUM(G472)</f>
        <v>47628.88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37606.54</v>
      </c>
      <c r="H637" s="164">
        <f>SUM(J468)</f>
        <v>37606.54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62200</v>
      </c>
      <c r="H638" s="164">
        <f>SUM(J472)</f>
        <v>62200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165837.14000000001</v>
      </c>
      <c r="H639" s="104">
        <f>SUM(F461)</f>
        <v>165837.14000000001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55184.33</v>
      </c>
      <c r="H640" s="104">
        <f>SUM(G461)</f>
        <v>55184.33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221021.47000000003</v>
      </c>
      <c r="H642" s="104">
        <f>SUM(I461)</f>
        <v>221021.47000000003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5406.54</v>
      </c>
      <c r="H644" s="104">
        <f>H408</f>
        <v>5406.54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32200</v>
      </c>
      <c r="H645" s="104">
        <f>G408</f>
        <v>32200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37606.54</v>
      </c>
      <c r="H646" s="104">
        <f>L408</f>
        <v>37606.54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146503.44999999998</v>
      </c>
      <c r="H647" s="104">
        <f>L208+L226+L244</f>
        <v>146503.45000000001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69421.179999999993</v>
      </c>
      <c r="H648" s="104">
        <f>(J257+J338)-(J255+J336)</f>
        <v>69421.179999999993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146503.45000000001</v>
      </c>
      <c r="H649" s="104">
        <f>H598</f>
        <v>146503.44999999998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11615.16</v>
      </c>
      <c r="H652" s="104">
        <f>K263+K345</f>
        <v>11615.16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32200</v>
      </c>
      <c r="H655" s="104">
        <f>K266+K347</f>
        <v>32200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2657530.1</v>
      </c>
      <c r="G660" s="19">
        <f>(L229+L309+L359)</f>
        <v>0</v>
      </c>
      <c r="H660" s="19">
        <f>(L247+L328+L360)</f>
        <v>0</v>
      </c>
      <c r="I660" s="19">
        <f>SUM(F660:H660)</f>
        <v>2657530.1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24833.68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24833.68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146503.45000000001</v>
      </c>
      <c r="G662" s="19">
        <f>(L226+L306)-(J226+J306)</f>
        <v>0</v>
      </c>
      <c r="H662" s="19">
        <f>(L244+L325)-(J244+J325)</f>
        <v>0</v>
      </c>
      <c r="I662" s="19">
        <f>SUM(F662:H662)</f>
        <v>146503.45000000001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76849.289999999994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76849.289999999994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2409343.6800000002</v>
      </c>
      <c r="G664" s="19">
        <f>G660-SUM(G661:G663)</f>
        <v>0</v>
      </c>
      <c r="H664" s="19">
        <f>H660-SUM(H661:H663)</f>
        <v>0</v>
      </c>
      <c r="I664" s="19">
        <f>I660-SUM(I661:I663)</f>
        <v>2409343.6800000002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118.31</v>
      </c>
      <c r="G665" s="248"/>
      <c r="H665" s="248"/>
      <c r="I665" s="19">
        <f>SUM(F665:H665)</f>
        <v>118.31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20364.669999999998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20364.669999999998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20364.669999999998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20364.669999999998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5" zoomScaleNormal="100" workbookViewId="0">
      <selection activeCell="C23" sqref="C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LAFAYETTE REGIONAL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704115.94</v>
      </c>
      <c r="C9" s="229">
        <f>'DOE25'!G197+'DOE25'!G215+'DOE25'!G233+'DOE25'!G276+'DOE25'!G295+'DOE25'!G314</f>
        <v>301255.24</v>
      </c>
    </row>
    <row r="10" spans="1:3" x14ac:dyDescent="0.2">
      <c r="A10" t="s">
        <v>778</v>
      </c>
      <c r="B10" s="240">
        <v>665449.06000000006</v>
      </c>
      <c r="C10" s="240">
        <v>280501.71999999997</v>
      </c>
    </row>
    <row r="11" spans="1:3" x14ac:dyDescent="0.2">
      <c r="A11" t="s">
        <v>779</v>
      </c>
      <c r="B11" s="240">
        <v>18399.38</v>
      </c>
      <c r="C11" s="240">
        <v>19203.060000000001</v>
      </c>
    </row>
    <row r="12" spans="1:3" x14ac:dyDescent="0.2">
      <c r="A12" t="s">
        <v>780</v>
      </c>
      <c r="B12" s="240">
        <v>20267.5</v>
      </c>
      <c r="C12" s="240">
        <v>1550.46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704115.94000000006</v>
      </c>
      <c r="C13" s="231">
        <f>SUM(C10:C12)</f>
        <v>301255.24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218338.5</v>
      </c>
      <c r="C18" s="229">
        <f>'DOE25'!G198+'DOE25'!G216+'DOE25'!G234+'DOE25'!G277+'DOE25'!G296+'DOE25'!G315</f>
        <v>102629.93000000001</v>
      </c>
    </row>
    <row r="19" spans="1:3" x14ac:dyDescent="0.2">
      <c r="A19" t="s">
        <v>778</v>
      </c>
      <c r="B19" s="240">
        <v>136683.68</v>
      </c>
      <c r="C19" s="240">
        <v>47905.62</v>
      </c>
    </row>
    <row r="20" spans="1:3" x14ac:dyDescent="0.2">
      <c r="A20" t="s">
        <v>779</v>
      </c>
      <c r="B20" s="240">
        <v>81654.820000000007</v>
      </c>
      <c r="C20" s="240">
        <v>54724.31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218338.5</v>
      </c>
      <c r="C22" s="231">
        <f>SUM(C19:C21)</f>
        <v>102629.93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3320</v>
      </c>
      <c r="C36" s="235">
        <f>'DOE25'!G200+'DOE25'!G218+'DOE25'!G236+'DOE25'!G279+'DOE25'!G298+'DOE25'!G317</f>
        <v>666.32</v>
      </c>
    </row>
    <row r="37" spans="1:3" x14ac:dyDescent="0.2">
      <c r="A37" t="s">
        <v>778</v>
      </c>
      <c r="B37" s="240">
        <v>3320</v>
      </c>
      <c r="C37" s="240">
        <v>666.32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3320</v>
      </c>
      <c r="C40" s="231">
        <f>SUM(C37:C39)</f>
        <v>666.32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LAFAYETTE REGIONAL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1367200.3299999998</v>
      </c>
      <c r="D5" s="20">
        <f>SUM('DOE25'!L197:L200)+SUM('DOE25'!L215:L218)+SUM('DOE25'!L233:L236)-F5-G5</f>
        <v>1311291.3299999998</v>
      </c>
      <c r="E5" s="243"/>
      <c r="F5" s="255">
        <f>SUM('DOE25'!J197:J200)+SUM('DOE25'!J215:J218)+SUM('DOE25'!J233:J236)</f>
        <v>54272.18</v>
      </c>
      <c r="G5" s="53">
        <f>SUM('DOE25'!K197:K200)+SUM('DOE25'!K215:K218)+SUM('DOE25'!K233:K236)</f>
        <v>1636.82</v>
      </c>
      <c r="H5" s="259"/>
    </row>
    <row r="6" spans="1:9" x14ac:dyDescent="0.2">
      <c r="A6" s="32">
        <v>2100</v>
      </c>
      <c r="B6" t="s">
        <v>800</v>
      </c>
      <c r="C6" s="245">
        <f t="shared" si="0"/>
        <v>256381.10000000003</v>
      </c>
      <c r="D6" s="20">
        <f>'DOE25'!L202+'DOE25'!L220+'DOE25'!L238-F6-G6</f>
        <v>256162.10000000003</v>
      </c>
      <c r="E6" s="243"/>
      <c r="F6" s="255">
        <f>'DOE25'!J202+'DOE25'!J220+'DOE25'!J238</f>
        <v>0</v>
      </c>
      <c r="G6" s="53">
        <f>'DOE25'!K202+'DOE25'!K220+'DOE25'!K238</f>
        <v>219</v>
      </c>
      <c r="H6" s="259"/>
    </row>
    <row r="7" spans="1:9" x14ac:dyDescent="0.2">
      <c r="A7" s="32">
        <v>2200</v>
      </c>
      <c r="B7" t="s">
        <v>833</v>
      </c>
      <c r="C7" s="245">
        <f t="shared" si="0"/>
        <v>99746.73</v>
      </c>
      <c r="D7" s="20">
        <f>'DOE25'!L203+'DOE25'!L221+'DOE25'!L239-F7-G7</f>
        <v>93843.62999999999</v>
      </c>
      <c r="E7" s="243"/>
      <c r="F7" s="255">
        <f>'DOE25'!J203+'DOE25'!J221+'DOE25'!J239</f>
        <v>0</v>
      </c>
      <c r="G7" s="53">
        <f>'DOE25'!K203+'DOE25'!K221+'DOE25'!K239</f>
        <v>5903.1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104888.46999999999</v>
      </c>
      <c r="D8" s="243"/>
      <c r="E8" s="20">
        <f>'DOE25'!L204+'DOE25'!L222+'DOE25'!L240-F8-G8-D9-D11</f>
        <v>99720.00999999998</v>
      </c>
      <c r="F8" s="255">
        <f>'DOE25'!J204+'DOE25'!J222+'DOE25'!J240</f>
        <v>0</v>
      </c>
      <c r="G8" s="53">
        <f>'DOE25'!K204+'DOE25'!K222+'DOE25'!K240</f>
        <v>5168.46</v>
      </c>
      <c r="H8" s="259"/>
    </row>
    <row r="9" spans="1:9" x14ac:dyDescent="0.2">
      <c r="A9" s="32">
        <v>2310</v>
      </c>
      <c r="B9" t="s">
        <v>817</v>
      </c>
      <c r="C9" s="245">
        <f t="shared" si="0"/>
        <v>28486.43</v>
      </c>
      <c r="D9" s="244">
        <v>28486.43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7501</v>
      </c>
      <c r="D10" s="243"/>
      <c r="E10" s="244">
        <v>7501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43564.57</v>
      </c>
      <c r="D11" s="244">
        <v>43564.57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227537.43000000002</v>
      </c>
      <c r="D12" s="20">
        <f>'DOE25'!L205+'DOE25'!L223+'DOE25'!L241-F12-G12</f>
        <v>227537.43000000002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266826.14</v>
      </c>
      <c r="D14" s="20">
        <f>'DOE25'!L207+'DOE25'!L225+'DOE25'!L243-F14-G14</f>
        <v>251432.25</v>
      </c>
      <c r="E14" s="243"/>
      <c r="F14" s="255">
        <f>'DOE25'!J207+'DOE25'!J225+'DOE25'!J243</f>
        <v>15149</v>
      </c>
      <c r="G14" s="53">
        <f>'DOE25'!K207+'DOE25'!K225+'DOE25'!K243</f>
        <v>244.89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146503.45000000001</v>
      </c>
      <c r="D15" s="20">
        <f>'DOE25'!L208+'DOE25'!L226+'DOE25'!L244-F15-G15</f>
        <v>146503.45000000001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47628.88</v>
      </c>
      <c r="D29" s="20">
        <f>'DOE25'!L358+'DOE25'!L359+'DOE25'!L360-'DOE25'!I367-F29-G29</f>
        <v>47628.88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68766.570000000007</v>
      </c>
      <c r="D31" s="20">
        <f>'DOE25'!L290+'DOE25'!L309+'DOE25'!L328+'DOE25'!L333+'DOE25'!L334+'DOE25'!L335-F31-G31</f>
        <v>62408.3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6358.27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2468858.3699999996</v>
      </c>
      <c r="E33" s="246">
        <f>SUM(E5:E31)</f>
        <v>107221.00999999998</v>
      </c>
      <c r="F33" s="246">
        <f>SUM(F5:F31)</f>
        <v>69421.179999999993</v>
      </c>
      <c r="G33" s="246">
        <f>SUM(G5:G31)</f>
        <v>19530.54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107221.00999999998</v>
      </c>
      <c r="E35" s="249"/>
    </row>
    <row r="36" spans="2:8" ht="12" thickTop="1" x14ac:dyDescent="0.2">
      <c r="B36" t="s">
        <v>814</v>
      </c>
      <c r="D36" s="20">
        <f>D33</f>
        <v>2468858.3699999996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27940.34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221021.47000000003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8355.0499999999993</v>
      </c>
      <c r="D11" s="95">
        <f>'DOE25'!G12</f>
        <v>-1070.03</v>
      </c>
      <c r="E11" s="95">
        <f>'DOE25'!H12</f>
        <v>-7285.02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809.58</v>
      </c>
      <c r="E12" s="95">
        <f>'DOE25'!H13</f>
        <v>8086.25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17658.68</v>
      </c>
      <c r="D13" s="95">
        <f>'DOE25'!G14</f>
        <v>260.45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53954.07</v>
      </c>
      <c r="D18" s="41">
        <f>SUM(D8:D17)</f>
        <v>5.6843418860808015E-14</v>
      </c>
      <c r="E18" s="41">
        <f>SUM(E8:E17)</f>
        <v>801.22999999999956</v>
      </c>
      <c r="F18" s="41">
        <f>SUM(F8:F17)</f>
        <v>0</v>
      </c>
      <c r="G18" s="41">
        <f>SUM(G8:G17)</f>
        <v>221021.47000000003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119772.79</v>
      </c>
      <c r="D23" s="95">
        <f>'DOE25'!G24</f>
        <v>0</v>
      </c>
      <c r="E23" s="95">
        <f>'DOE25'!H24</f>
        <v>531.25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269.98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119772.79</v>
      </c>
      <c r="D31" s="41">
        <f>SUM(D21:D30)</f>
        <v>0</v>
      </c>
      <c r="E31" s="41">
        <f>SUM(E21:E30)</f>
        <v>801.23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221021.47000000003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-65818.720000000001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-65818.720000000001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221021.47000000003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53954.069999999992</v>
      </c>
      <c r="D51" s="41">
        <f>D50+D31</f>
        <v>0</v>
      </c>
      <c r="E51" s="41">
        <f>E50+E31</f>
        <v>801.23</v>
      </c>
      <c r="F51" s="41">
        <f>F50+F31</f>
        <v>0</v>
      </c>
      <c r="G51" s="41">
        <f>G50+G31</f>
        <v>221021.47000000003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1723666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247.31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5406.54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24833.68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4539.79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4787.1000000000004</v>
      </c>
      <c r="D62" s="130">
        <f>SUM(D57:D61)</f>
        <v>24833.68</v>
      </c>
      <c r="E62" s="130">
        <f>SUM(E57:E61)</f>
        <v>0</v>
      </c>
      <c r="F62" s="130">
        <f>SUM(F57:F61)</f>
        <v>0</v>
      </c>
      <c r="G62" s="130">
        <f>SUM(G57:G61)</f>
        <v>5406.54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1728453.1</v>
      </c>
      <c r="D63" s="22">
        <f>D56+D62</f>
        <v>24833.68</v>
      </c>
      <c r="E63" s="22">
        <f>E56+E62</f>
        <v>0</v>
      </c>
      <c r="F63" s="22">
        <f>F56+F62</f>
        <v>0</v>
      </c>
      <c r="G63" s="22">
        <f>G56+G62</f>
        <v>5406.54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656650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656650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549.76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549.76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656650</v>
      </c>
      <c r="D81" s="130">
        <f>SUM(D79:D80)+D78+D70</f>
        <v>549.76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1638.65</v>
      </c>
      <c r="D88" s="95">
        <f>SUM('DOE25'!G153:G161)</f>
        <v>10630.28</v>
      </c>
      <c r="E88" s="95">
        <f>SUM('DOE25'!H153:H161)</f>
        <v>68766.570000000007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19179.099999999999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20817.75</v>
      </c>
      <c r="D91" s="131">
        <f>SUM(D85:D90)</f>
        <v>10630.28</v>
      </c>
      <c r="E91" s="131">
        <f>SUM(E85:E90)</f>
        <v>68766.570000000007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11615.16</v>
      </c>
      <c r="E96" s="95">
        <f>'DOE25'!H179</f>
        <v>0</v>
      </c>
      <c r="F96" s="95">
        <f>'DOE25'!I179</f>
        <v>0</v>
      </c>
      <c r="G96" s="95">
        <f>'DOE25'!J179</f>
        <v>32200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62200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62200</v>
      </c>
      <c r="D103" s="86">
        <f>SUM(D93:D102)</f>
        <v>11615.16</v>
      </c>
      <c r="E103" s="86">
        <f>SUM(E93:E102)</f>
        <v>0</v>
      </c>
      <c r="F103" s="86">
        <f>SUM(F93:F102)</f>
        <v>0</v>
      </c>
      <c r="G103" s="86">
        <f>SUM(G93:G102)</f>
        <v>32200</v>
      </c>
    </row>
    <row r="104" spans="1:7" ht="12.75" thickTop="1" thickBot="1" x14ac:dyDescent="0.25">
      <c r="A104" s="33" t="s">
        <v>764</v>
      </c>
      <c r="C104" s="86">
        <f>C63+C81+C91+C103</f>
        <v>2468120.85</v>
      </c>
      <c r="D104" s="86">
        <f>D63+D81+D91+D103</f>
        <v>47628.880000000005</v>
      </c>
      <c r="E104" s="86">
        <f>E63+E81+E91+E103</f>
        <v>68766.570000000007</v>
      </c>
      <c r="F104" s="86">
        <f>F63+F81+F91+F103</f>
        <v>0</v>
      </c>
      <c r="G104" s="86">
        <f>G63+G81+G103</f>
        <v>37606.54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1063244.93</v>
      </c>
      <c r="D109" s="24" t="s">
        <v>288</v>
      </c>
      <c r="E109" s="95">
        <f>('DOE25'!L276)+('DOE25'!L295)+('DOE25'!L314)</f>
        <v>12744.17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298332.26000000007</v>
      </c>
      <c r="D110" s="24" t="s">
        <v>288</v>
      </c>
      <c r="E110" s="95">
        <f>('DOE25'!L277)+('DOE25'!L296)+('DOE25'!L315)</f>
        <v>31344.26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5623.14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1367200.3299999998</v>
      </c>
      <c r="D115" s="86">
        <f>SUM(D109:D114)</f>
        <v>0</v>
      </c>
      <c r="E115" s="86">
        <f>SUM(E109:E114)</f>
        <v>44088.43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256381.10000000003</v>
      </c>
      <c r="D118" s="24" t="s">
        <v>288</v>
      </c>
      <c r="E118" s="95">
        <f>+('DOE25'!L281)+('DOE25'!L300)+('DOE25'!L319)</f>
        <v>7743.06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99746.73</v>
      </c>
      <c r="D119" s="24" t="s">
        <v>288</v>
      </c>
      <c r="E119" s="95">
        <f>+('DOE25'!L282)+('DOE25'!L301)+('DOE25'!L320)</f>
        <v>14129.330000000002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176939.46999999997</v>
      </c>
      <c r="D120" s="24" t="s">
        <v>288</v>
      </c>
      <c r="E120" s="95">
        <f>+('DOE25'!L283)+('DOE25'!L302)+('DOE25'!L321)</f>
        <v>2805.75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227537.43000000002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266826.14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146503.45000000001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47628.88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1173934.32</v>
      </c>
      <c r="D128" s="86">
        <f>SUM(D118:D127)</f>
        <v>47628.88</v>
      </c>
      <c r="E128" s="86">
        <f>SUM(E118:E127)</f>
        <v>24678.140000000003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62200</v>
      </c>
    </row>
    <row r="135" spans="1:7" x14ac:dyDescent="0.2">
      <c r="A135" t="s">
        <v>233</v>
      </c>
      <c r="B135" s="32" t="s">
        <v>234</v>
      </c>
      <c r="C135" s="95">
        <f>'DOE25'!L263</f>
        <v>11615.16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37606.54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-5406.5400000000009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43815.159999999996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62200</v>
      </c>
    </row>
    <row r="145" spans="1:9" ht="12.75" thickTop="1" thickBot="1" x14ac:dyDescent="0.25">
      <c r="A145" s="33" t="s">
        <v>244</v>
      </c>
      <c r="C145" s="86">
        <f>(C115+C128+C144)</f>
        <v>2584949.81</v>
      </c>
      <c r="D145" s="86">
        <f>(D115+D128+D144)</f>
        <v>47628.88</v>
      </c>
      <c r="E145" s="86">
        <f>(E115+E128+E144)</f>
        <v>68766.570000000007</v>
      </c>
      <c r="F145" s="86">
        <f>(F115+F128+F144)</f>
        <v>0</v>
      </c>
      <c r="G145" s="86">
        <f>(G115+G128+G144)</f>
        <v>62200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LAFAYETTE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20365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20365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1075989</v>
      </c>
      <c r="D10" s="182">
        <f>ROUND((C10/$C$28)*100,1)</f>
        <v>40.9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329677</v>
      </c>
      <c r="D11" s="182">
        <f>ROUND((C11/$C$28)*100,1)</f>
        <v>12.5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5623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264124</v>
      </c>
      <c r="D15" s="182">
        <f t="shared" ref="D15:D27" si="0">ROUND((C15/$C$28)*100,1)</f>
        <v>10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113876</v>
      </c>
      <c r="D16" s="182">
        <f t="shared" si="0"/>
        <v>4.3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179745</v>
      </c>
      <c r="D17" s="182">
        <f t="shared" si="0"/>
        <v>6.8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227537</v>
      </c>
      <c r="D18" s="182">
        <f t="shared" si="0"/>
        <v>8.6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266826</v>
      </c>
      <c r="D20" s="182">
        <f t="shared" si="0"/>
        <v>10.1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146503</v>
      </c>
      <c r="D21" s="182">
        <f t="shared" si="0"/>
        <v>5.6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22795.32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2632695.3199999998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2632695.3199999998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1723666</v>
      </c>
      <c r="D35" s="182">
        <f t="shared" ref="D35:D40" si="1">ROUND((C35/$C$41)*100,1)</f>
        <v>69.2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10193.64000000013</v>
      </c>
      <c r="D36" s="182">
        <f t="shared" si="1"/>
        <v>0.4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656650</v>
      </c>
      <c r="D37" s="182">
        <f t="shared" si="1"/>
        <v>26.4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550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100215</v>
      </c>
      <c r="D39" s="182">
        <f t="shared" si="1"/>
        <v>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2491274.64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LAFAYETTE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2017-10-04T13:16:20Z</cp:lastPrinted>
  <dcterms:created xsi:type="dcterms:W3CDTF">1997-12-04T19:04:30Z</dcterms:created>
  <dcterms:modified xsi:type="dcterms:W3CDTF">2017-11-29T17:34:34Z</dcterms:modified>
</cp:coreProperties>
</file>