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G320" i="1" l="1"/>
  <c r="H321" i="1"/>
  <c r="H243" i="1" l="1"/>
  <c r="H360" i="1"/>
  <c r="H359" i="1"/>
  <c r="H358" i="1"/>
  <c r="I360" i="1"/>
  <c r="I359" i="1"/>
  <c r="I358" i="1"/>
  <c r="H255" i="1"/>
  <c r="K333" i="1" l="1"/>
  <c r="H400" i="1"/>
  <c r="H208" i="1" l="1"/>
  <c r="H226" i="1"/>
  <c r="H244" i="1"/>
  <c r="H239" i="1"/>
  <c r="H218" i="1"/>
  <c r="H236" i="1"/>
  <c r="H225" i="1"/>
  <c r="G243" i="1" l="1"/>
  <c r="G244" i="1"/>
  <c r="G241" i="1"/>
  <c r="G240" i="1"/>
  <c r="G239" i="1"/>
  <c r="G238" i="1"/>
  <c r="G236" i="1"/>
  <c r="G234" i="1"/>
  <c r="G233" i="1"/>
  <c r="G226" i="1"/>
  <c r="G225" i="1"/>
  <c r="G223" i="1"/>
  <c r="G222" i="1"/>
  <c r="G221" i="1"/>
  <c r="G220" i="1"/>
  <c r="G218" i="1"/>
  <c r="G216" i="1"/>
  <c r="G215" i="1"/>
  <c r="G207" i="1"/>
  <c r="G205" i="1"/>
  <c r="G204" i="1"/>
  <c r="G203" i="1"/>
  <c r="G202" i="1"/>
  <c r="G200" i="1"/>
  <c r="G198" i="1"/>
  <c r="G197" i="1"/>
  <c r="G208" i="1" l="1"/>
  <c r="B37" i="12"/>
  <c r="B20" i="12"/>
  <c r="C20" i="12" s="1"/>
  <c r="B19" i="12"/>
  <c r="B11" i="12"/>
  <c r="C11" i="12" s="1"/>
  <c r="B10" i="12"/>
  <c r="G612" i="1"/>
  <c r="F612" i="1"/>
  <c r="G613" i="1"/>
  <c r="G611" i="1"/>
  <c r="I543" i="1" l="1"/>
  <c r="I542" i="1"/>
  <c r="I541" i="1"/>
  <c r="H543" i="1"/>
  <c r="H542" i="1"/>
  <c r="H541" i="1"/>
  <c r="G543" i="1"/>
  <c r="G542" i="1"/>
  <c r="G541" i="1"/>
  <c r="F543" i="1"/>
  <c r="F542" i="1"/>
  <c r="F541" i="1"/>
  <c r="H538" i="1"/>
  <c r="H537" i="1"/>
  <c r="H536" i="1"/>
  <c r="H521" i="1"/>
  <c r="F521" i="1"/>
  <c r="I528" i="1"/>
  <c r="I527" i="1"/>
  <c r="I526" i="1"/>
  <c r="H528" i="1"/>
  <c r="H527" i="1"/>
  <c r="H526" i="1"/>
  <c r="F523" i="1"/>
  <c r="F522" i="1"/>
  <c r="K533" i="1"/>
  <c r="K532" i="1"/>
  <c r="K531" i="1"/>
  <c r="J526" i="1"/>
  <c r="J523" i="1"/>
  <c r="J522" i="1"/>
  <c r="J521" i="1"/>
  <c r="I522" i="1"/>
  <c r="I521" i="1"/>
  <c r="I523" i="1"/>
  <c r="H523" i="1"/>
  <c r="H522" i="1"/>
  <c r="G528" i="1"/>
  <c r="G526" i="1"/>
  <c r="G527" i="1"/>
  <c r="F533" i="1" l="1"/>
  <c r="G533" i="1" s="1"/>
  <c r="G523" i="1" s="1"/>
  <c r="F532" i="1"/>
  <c r="G532" i="1" s="1"/>
  <c r="G522" i="1" s="1"/>
  <c r="F531" i="1"/>
  <c r="G531" i="1" s="1"/>
  <c r="G521" i="1" s="1"/>
  <c r="F528" i="1" l="1"/>
  <c r="F527" i="1"/>
  <c r="F526" i="1"/>
  <c r="K240" i="1" l="1"/>
  <c r="I239" i="1"/>
  <c r="F243" i="1"/>
  <c r="F223" i="1"/>
  <c r="I200" i="1"/>
  <c r="F218" i="1"/>
  <c r="J594" i="1" l="1"/>
  <c r="I592" i="1"/>
  <c r="H591" i="1"/>
  <c r="I591" i="1"/>
  <c r="J591" i="1"/>
  <c r="J595" i="1"/>
  <c r="I595" i="1"/>
  <c r="H595" i="1"/>
  <c r="J593" i="1"/>
  <c r="J592" i="1"/>
  <c r="H592" i="1"/>
  <c r="F244" i="1" l="1"/>
  <c r="I244" i="1"/>
  <c r="K244" i="1"/>
  <c r="J244" i="1"/>
  <c r="F226" i="1"/>
  <c r="I226" i="1"/>
  <c r="K226" i="1"/>
  <c r="J226" i="1"/>
  <c r="K208" i="1"/>
  <c r="J208" i="1"/>
  <c r="I208" i="1"/>
  <c r="F208" i="1"/>
  <c r="K243" i="1" l="1"/>
  <c r="J243" i="1"/>
  <c r="I243" i="1"/>
  <c r="K225" i="1"/>
  <c r="J225" i="1"/>
  <c r="I225" i="1"/>
  <c r="F225" i="1"/>
  <c r="K241" i="1"/>
  <c r="J241" i="1"/>
  <c r="I241" i="1"/>
  <c r="H241" i="1"/>
  <c r="F241" i="1"/>
  <c r="K223" i="1"/>
  <c r="J223" i="1"/>
  <c r="I223" i="1"/>
  <c r="H223" i="1"/>
  <c r="K205" i="1"/>
  <c r="J205" i="1"/>
  <c r="I205" i="1"/>
  <c r="H205" i="1"/>
  <c r="F205" i="1"/>
  <c r="I240" i="1"/>
  <c r="H240" i="1"/>
  <c r="F240" i="1"/>
  <c r="J240" i="1"/>
  <c r="K222" i="1"/>
  <c r="I222" i="1"/>
  <c r="H222" i="1"/>
  <c r="F222" i="1"/>
  <c r="J222" i="1"/>
  <c r="K204" i="1"/>
  <c r="I204" i="1"/>
  <c r="H204" i="1"/>
  <c r="F204" i="1"/>
  <c r="J204" i="1"/>
  <c r="J239" i="1" l="1"/>
  <c r="F239" i="1"/>
  <c r="J221" i="1"/>
  <c r="I221" i="1"/>
  <c r="H221" i="1"/>
  <c r="F221" i="1"/>
  <c r="J203" i="1"/>
  <c r="I203" i="1"/>
  <c r="H203" i="1"/>
  <c r="F203" i="1"/>
  <c r="K238" i="1"/>
  <c r="I238" i="1"/>
  <c r="H238" i="1"/>
  <c r="F238" i="1"/>
  <c r="J238" i="1"/>
  <c r="I220" i="1"/>
  <c r="H220" i="1"/>
  <c r="F220" i="1"/>
  <c r="J202" i="1"/>
  <c r="I202" i="1"/>
  <c r="H202" i="1"/>
  <c r="F202" i="1"/>
  <c r="I236" i="1"/>
  <c r="F236" i="1"/>
  <c r="I218" i="1"/>
  <c r="F200" i="1"/>
  <c r="J236" i="1"/>
  <c r="K236" i="1"/>
  <c r="K218" i="1"/>
  <c r="J218" i="1"/>
  <c r="H235" i="1"/>
  <c r="K234" i="1" l="1"/>
  <c r="J234" i="1"/>
  <c r="I234" i="1"/>
  <c r="H234" i="1"/>
  <c r="F234" i="1"/>
  <c r="K216" i="1"/>
  <c r="J216" i="1"/>
  <c r="I216" i="1"/>
  <c r="H216" i="1"/>
  <c r="F216" i="1"/>
  <c r="K198" i="1"/>
  <c r="J198" i="1"/>
  <c r="I198" i="1"/>
  <c r="H198" i="1"/>
  <c r="F198" i="1"/>
  <c r="J233" i="1" l="1"/>
  <c r="I233" i="1"/>
  <c r="F233" i="1"/>
  <c r="K215" i="1"/>
  <c r="J215" i="1"/>
  <c r="I215" i="1"/>
  <c r="F215" i="1"/>
  <c r="K197" i="1"/>
  <c r="J197" i="1"/>
  <c r="I197" i="1"/>
  <c r="F197" i="1"/>
  <c r="F110" i="1" l="1"/>
  <c r="F9" i="1" l="1"/>
  <c r="G583" i="1" l="1"/>
  <c r="F583" i="1"/>
  <c r="G580" i="1"/>
  <c r="F580" i="1"/>
  <c r="G576" i="1"/>
  <c r="I333" i="1"/>
  <c r="H333" i="1"/>
  <c r="G333" i="1"/>
  <c r="F333" i="1"/>
  <c r="H320" i="1"/>
  <c r="I320" i="1"/>
  <c r="F320" i="1"/>
  <c r="I317" i="1"/>
  <c r="I314" i="1"/>
  <c r="G314" i="1"/>
  <c r="F314" i="1"/>
  <c r="I315" i="1"/>
  <c r="H315" i="1"/>
  <c r="G315" i="1"/>
  <c r="F315" i="1"/>
  <c r="J320" i="1"/>
  <c r="H319" i="1"/>
  <c r="G319" i="1"/>
  <c r="F319" i="1"/>
  <c r="K317" i="1"/>
  <c r="H317" i="1"/>
  <c r="K314" i="1"/>
  <c r="J314" i="1"/>
  <c r="H314" i="1"/>
  <c r="I319" i="1"/>
  <c r="H301" i="1"/>
  <c r="I301" i="1"/>
  <c r="G301" i="1"/>
  <c r="F301" i="1"/>
  <c r="I298" i="1"/>
  <c r="I295" i="1"/>
  <c r="J295" i="1"/>
  <c r="G295" i="1"/>
  <c r="F295" i="1"/>
  <c r="I296" i="1"/>
  <c r="H296" i="1"/>
  <c r="G296" i="1"/>
  <c r="F296" i="1"/>
  <c r="H302" i="1"/>
  <c r="J301" i="1"/>
  <c r="H298" i="1"/>
  <c r="I300" i="1"/>
  <c r="H300" i="1"/>
  <c r="H282" i="1"/>
  <c r="I282" i="1"/>
  <c r="G282" i="1"/>
  <c r="F282" i="1"/>
  <c r="I279" i="1"/>
  <c r="I276" i="1"/>
  <c r="G276" i="1"/>
  <c r="F276" i="1"/>
  <c r="K282" i="1"/>
  <c r="H277" i="1"/>
  <c r="G277" i="1"/>
  <c r="F277" i="1"/>
  <c r="I277" i="1"/>
  <c r="H283" i="1"/>
  <c r="J282" i="1"/>
  <c r="H276" i="1"/>
  <c r="I281" i="1"/>
  <c r="H281" i="1"/>
  <c r="G281" i="1"/>
  <c r="F281" i="1"/>
  <c r="H279" i="1"/>
  <c r="G279" i="1"/>
  <c r="F27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597" i="1" s="1"/>
  <c r="L226" i="1"/>
  <c r="I597" i="1" s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C32" i="10" s="1"/>
  <c r="L342" i="1"/>
  <c r="L255" i="1"/>
  <c r="C130" i="2" s="1"/>
  <c r="L336" i="1"/>
  <c r="C11" i="13"/>
  <c r="C10" i="13"/>
  <c r="C9" i="13"/>
  <c r="L361" i="1"/>
  <c r="B4" i="12"/>
  <c r="B36" i="12"/>
  <c r="B39" i="12" s="1"/>
  <c r="C36" i="12"/>
  <c r="C39" i="12" s="1"/>
  <c r="C40" i="12" s="1"/>
  <c r="B40" i="12"/>
  <c r="B27" i="12"/>
  <c r="A31" i="12" s="1"/>
  <c r="C27" i="12"/>
  <c r="B31" i="12"/>
  <c r="C31" i="12"/>
  <c r="B9" i="12"/>
  <c r="B12" i="12" s="1"/>
  <c r="C12" i="12" s="1"/>
  <c r="C9" i="12"/>
  <c r="B18" i="12"/>
  <c r="B21" i="12" s="1"/>
  <c r="C21" i="12" s="1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F663" i="1" s="1"/>
  <c r="C40" i="10"/>
  <c r="F60" i="1"/>
  <c r="G60" i="1"/>
  <c r="H60" i="1"/>
  <c r="E56" i="2" s="1"/>
  <c r="I60" i="1"/>
  <c r="F79" i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I162" i="1"/>
  <c r="I169" i="1" s="1"/>
  <c r="L250" i="1"/>
  <c r="L332" i="1"/>
  <c r="L254" i="1"/>
  <c r="L268" i="1"/>
  <c r="L269" i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1" i="2"/>
  <c r="C113" i="2"/>
  <c r="E113" i="2"/>
  <c r="C114" i="2"/>
  <c r="D115" i="2"/>
  <c r="F115" i="2"/>
  <c r="G115" i="2"/>
  <c r="E121" i="2"/>
  <c r="E124" i="2"/>
  <c r="E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H604" i="1" s="1"/>
  <c r="K211" i="1"/>
  <c r="F229" i="1"/>
  <c r="G229" i="1"/>
  <c r="H229" i="1"/>
  <c r="I229" i="1"/>
  <c r="J229" i="1"/>
  <c r="I604" i="1" s="1"/>
  <c r="K229" i="1"/>
  <c r="F247" i="1"/>
  <c r="G247" i="1"/>
  <c r="H247" i="1"/>
  <c r="I247" i="1"/>
  <c r="J247" i="1"/>
  <c r="J604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G461" i="1" s="1"/>
  <c r="H640" i="1" s="1"/>
  <c r="H452" i="1"/>
  <c r="F460" i="1"/>
  <c r="G460" i="1"/>
  <c r="H460" i="1"/>
  <c r="H461" i="1"/>
  <c r="H641" i="1" s="1"/>
  <c r="G470" i="1"/>
  <c r="I470" i="1"/>
  <c r="G474" i="1"/>
  <c r="G476" i="1" s="1"/>
  <c r="H623" i="1" s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H598" i="1"/>
  <c r="H649" i="1" s="1"/>
  <c r="I598" i="1"/>
  <c r="H650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8" i="1"/>
  <c r="H630" i="1"/>
  <c r="H635" i="1"/>
  <c r="H636" i="1"/>
  <c r="H638" i="1"/>
  <c r="G643" i="1"/>
  <c r="G644" i="1"/>
  <c r="G650" i="1"/>
  <c r="G652" i="1"/>
  <c r="H652" i="1"/>
  <c r="G653" i="1"/>
  <c r="H653" i="1"/>
  <c r="G654" i="1"/>
  <c r="H654" i="1"/>
  <c r="H655" i="1"/>
  <c r="J655" i="1" s="1"/>
  <c r="C26" i="10"/>
  <c r="F18" i="2"/>
  <c r="D91" i="2"/>
  <c r="D29" i="13"/>
  <c r="C29" i="13" s="1"/>
  <c r="E78" i="2"/>
  <c r="H112" i="1"/>
  <c r="F169" i="1"/>
  <c r="G22" i="2"/>
  <c r="H552" i="1"/>
  <c r="E16" i="13"/>
  <c r="C16" i="13" s="1"/>
  <c r="G36" i="2"/>
  <c r="K551" i="1"/>
  <c r="C70" i="2" l="1"/>
  <c r="G62" i="2"/>
  <c r="H408" i="1"/>
  <c r="H644" i="1" s="1"/>
  <c r="J644" i="1" s="1"/>
  <c r="L401" i="1"/>
  <c r="C139" i="2" s="1"/>
  <c r="D50" i="2"/>
  <c r="D31" i="2"/>
  <c r="D18" i="2"/>
  <c r="H169" i="1"/>
  <c r="H193" i="1" s="1"/>
  <c r="L614" i="1"/>
  <c r="J571" i="1"/>
  <c r="F571" i="1"/>
  <c r="K571" i="1"/>
  <c r="L560" i="1"/>
  <c r="K503" i="1"/>
  <c r="J640" i="1"/>
  <c r="L419" i="1"/>
  <c r="L434" i="1" s="1"/>
  <c r="G638" i="1" s="1"/>
  <c r="J638" i="1" s="1"/>
  <c r="L256" i="1"/>
  <c r="F192" i="1"/>
  <c r="I52" i="1"/>
  <c r="H620" i="1" s="1"/>
  <c r="E131" i="2"/>
  <c r="E144" i="2" s="1"/>
  <c r="G663" i="1"/>
  <c r="E114" i="2"/>
  <c r="E122" i="2"/>
  <c r="D17" i="13"/>
  <c r="C17" i="13" s="1"/>
  <c r="L427" i="1"/>
  <c r="E31" i="2"/>
  <c r="F130" i="2"/>
  <c r="F144" i="2" s="1"/>
  <c r="F145" i="2" s="1"/>
  <c r="F112" i="1"/>
  <c r="H663" i="1"/>
  <c r="C19" i="12"/>
  <c r="C22" i="12" s="1"/>
  <c r="C10" i="12"/>
  <c r="C13" i="12" s="1"/>
  <c r="J641" i="1"/>
  <c r="K605" i="1"/>
  <c r="G648" i="1" s="1"/>
  <c r="L570" i="1"/>
  <c r="H571" i="1"/>
  <c r="K545" i="1"/>
  <c r="J623" i="1"/>
  <c r="F461" i="1"/>
  <c r="H639" i="1" s="1"/>
  <c r="K338" i="1"/>
  <c r="K352" i="1" s="1"/>
  <c r="H192" i="1"/>
  <c r="G156" i="2"/>
  <c r="C91" i="2"/>
  <c r="D81" i="2"/>
  <c r="B22" i="12"/>
  <c r="B13" i="12"/>
  <c r="F662" i="1"/>
  <c r="E120" i="2"/>
  <c r="D19" i="13"/>
  <c r="C19" i="13" s="1"/>
  <c r="C125" i="2"/>
  <c r="J634" i="1"/>
  <c r="G661" i="1"/>
  <c r="G651" i="1"/>
  <c r="J597" i="1"/>
  <c r="C112" i="2"/>
  <c r="G662" i="1"/>
  <c r="A40" i="12"/>
  <c r="A13" i="12"/>
  <c r="J639" i="1"/>
  <c r="G164" i="2"/>
  <c r="J552" i="1"/>
  <c r="I552" i="1"/>
  <c r="K549" i="1"/>
  <c r="G552" i="1"/>
  <c r="L529" i="1"/>
  <c r="J545" i="1"/>
  <c r="F552" i="1"/>
  <c r="I545" i="1"/>
  <c r="H545" i="1"/>
  <c r="G545" i="1"/>
  <c r="K550" i="1"/>
  <c r="L382" i="1"/>
  <c r="G636" i="1" s="1"/>
  <c r="J636" i="1" s="1"/>
  <c r="C119" i="2"/>
  <c r="C20" i="10"/>
  <c r="G408" i="1"/>
  <c r="H645" i="1" s="1"/>
  <c r="L393" i="1"/>
  <c r="C138" i="2" s="1"/>
  <c r="G645" i="1"/>
  <c r="L351" i="1"/>
  <c r="C29" i="10"/>
  <c r="F22" i="13"/>
  <c r="C22" i="13" s="1"/>
  <c r="H662" i="1"/>
  <c r="C123" i="2"/>
  <c r="D14" i="13"/>
  <c r="C14" i="13" s="1"/>
  <c r="E103" i="2"/>
  <c r="F78" i="2"/>
  <c r="F81" i="2" s="1"/>
  <c r="C78" i="2"/>
  <c r="C81" i="2" s="1"/>
  <c r="D62" i="2"/>
  <c r="D63" i="2" s="1"/>
  <c r="H661" i="1"/>
  <c r="L362" i="1"/>
  <c r="G635" i="1" s="1"/>
  <c r="J635" i="1" s="1"/>
  <c r="C124" i="2"/>
  <c r="C118" i="2"/>
  <c r="C12" i="10"/>
  <c r="C19" i="10"/>
  <c r="H25" i="13"/>
  <c r="G649" i="1"/>
  <c r="G625" i="1"/>
  <c r="J625" i="1" s="1"/>
  <c r="L534" i="1"/>
  <c r="K500" i="1"/>
  <c r="I460" i="1"/>
  <c r="I452" i="1"/>
  <c r="I446" i="1"/>
  <c r="G642" i="1" s="1"/>
  <c r="H52" i="1"/>
  <c r="H619" i="1" s="1"/>
  <c r="J619" i="1" s="1"/>
  <c r="E130" i="2"/>
  <c r="D127" i="2"/>
  <c r="D128" i="2" s="1"/>
  <c r="D145" i="2" s="1"/>
  <c r="G112" i="1"/>
  <c r="G161" i="2"/>
  <c r="G157" i="2"/>
  <c r="E62" i="2"/>
  <c r="E63" i="2" s="1"/>
  <c r="C35" i="10"/>
  <c r="L544" i="1"/>
  <c r="L524" i="1"/>
  <c r="E81" i="2"/>
  <c r="D15" i="13"/>
  <c r="C15" i="13" s="1"/>
  <c r="H647" i="1"/>
  <c r="E13" i="13"/>
  <c r="C13" i="13" s="1"/>
  <c r="C122" i="2"/>
  <c r="C18" i="10"/>
  <c r="D12" i="13"/>
  <c r="C12" i="13" s="1"/>
  <c r="C121" i="2"/>
  <c r="C17" i="10"/>
  <c r="E8" i="13"/>
  <c r="C8" i="13" s="1"/>
  <c r="C120" i="2"/>
  <c r="J257" i="1"/>
  <c r="J271" i="1" s="1"/>
  <c r="L211" i="1"/>
  <c r="D7" i="13"/>
  <c r="C7" i="13" s="1"/>
  <c r="D6" i="13"/>
  <c r="C6" i="13" s="1"/>
  <c r="C15" i="10"/>
  <c r="G257" i="1"/>
  <c r="G271" i="1" s="1"/>
  <c r="L229" i="1"/>
  <c r="D5" i="13"/>
  <c r="C5" i="13" s="1"/>
  <c r="C111" i="2"/>
  <c r="L247" i="1"/>
  <c r="K257" i="1"/>
  <c r="K271" i="1" s="1"/>
  <c r="H257" i="1"/>
  <c r="H271" i="1" s="1"/>
  <c r="F257" i="1"/>
  <c r="F271" i="1" s="1"/>
  <c r="I257" i="1"/>
  <c r="I271" i="1" s="1"/>
  <c r="C62" i="2"/>
  <c r="C63" i="2" s="1"/>
  <c r="J617" i="1"/>
  <c r="C18" i="2"/>
  <c r="J649" i="1"/>
  <c r="E110" i="2"/>
  <c r="E112" i="2"/>
  <c r="L328" i="1"/>
  <c r="G338" i="1"/>
  <c r="G352" i="1" s="1"/>
  <c r="F338" i="1"/>
  <c r="F352" i="1" s="1"/>
  <c r="C11" i="10"/>
  <c r="C16" i="10"/>
  <c r="L309" i="1"/>
  <c r="C13" i="10"/>
  <c r="H338" i="1"/>
  <c r="H352" i="1" s="1"/>
  <c r="C10" i="10"/>
  <c r="E119" i="2"/>
  <c r="E128" i="2" s="1"/>
  <c r="J338" i="1"/>
  <c r="J352" i="1" s="1"/>
  <c r="E109" i="2"/>
  <c r="L290" i="1"/>
  <c r="C21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F193" i="1" s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J652" i="1"/>
  <c r="G571" i="1"/>
  <c r="I434" i="1"/>
  <c r="G434" i="1"/>
  <c r="I663" i="1"/>
  <c r="C27" i="10"/>
  <c r="G629" i="1" l="1"/>
  <c r="H468" i="1"/>
  <c r="I661" i="1"/>
  <c r="C39" i="10"/>
  <c r="E104" i="2"/>
  <c r="F104" i="2"/>
  <c r="C104" i="2"/>
  <c r="C36" i="10"/>
  <c r="I662" i="1"/>
  <c r="F660" i="1"/>
  <c r="F664" i="1" s="1"/>
  <c r="F672" i="1" s="1"/>
  <c r="C4" i="10" s="1"/>
  <c r="C115" i="2"/>
  <c r="J598" i="1"/>
  <c r="H651" i="1" s="1"/>
  <c r="J651" i="1" s="1"/>
  <c r="K597" i="1"/>
  <c r="K598" i="1" s="1"/>
  <c r="G647" i="1" s="1"/>
  <c r="J647" i="1" s="1"/>
  <c r="G51" i="2"/>
  <c r="I461" i="1"/>
  <c r="H642" i="1" s="1"/>
  <c r="J642" i="1"/>
  <c r="K552" i="1"/>
  <c r="L545" i="1"/>
  <c r="I193" i="1"/>
  <c r="G630" i="1" s="1"/>
  <c r="J630" i="1" s="1"/>
  <c r="J645" i="1"/>
  <c r="L408" i="1"/>
  <c r="C141" i="2"/>
  <c r="C144" i="2" s="1"/>
  <c r="G627" i="1"/>
  <c r="F468" i="1"/>
  <c r="F33" i="13"/>
  <c r="C25" i="13"/>
  <c r="H33" i="13"/>
  <c r="G104" i="2"/>
  <c r="C128" i="2"/>
  <c r="E33" i="13"/>
  <c r="D35" i="13" s="1"/>
  <c r="G660" i="1"/>
  <c r="G664" i="1" s="1"/>
  <c r="G667" i="1" s="1"/>
  <c r="L257" i="1"/>
  <c r="L271" i="1" s="1"/>
  <c r="F472" i="1" s="1"/>
  <c r="H660" i="1"/>
  <c r="H664" i="1" s="1"/>
  <c r="H667" i="1" s="1"/>
  <c r="E115" i="2"/>
  <c r="E145" i="2" s="1"/>
  <c r="H648" i="1"/>
  <c r="J648" i="1" s="1"/>
  <c r="C28" i="10"/>
  <c r="D23" i="10" s="1"/>
  <c r="L338" i="1"/>
  <c r="D31" i="13"/>
  <c r="C31" i="13" s="1"/>
  <c r="C51" i="2"/>
  <c r="G631" i="1"/>
  <c r="G193" i="1"/>
  <c r="G628" i="1" s="1"/>
  <c r="J628" i="1" s="1"/>
  <c r="G626" i="1"/>
  <c r="J52" i="1"/>
  <c r="H621" i="1" s="1"/>
  <c r="J621" i="1" s="1"/>
  <c r="C38" i="10"/>
  <c r="H629" i="1" l="1"/>
  <c r="H470" i="1"/>
  <c r="J629" i="1"/>
  <c r="G637" i="1"/>
  <c r="J468" i="1"/>
  <c r="C145" i="2"/>
  <c r="F667" i="1"/>
  <c r="H646" i="1"/>
  <c r="J646" i="1" s="1"/>
  <c r="G632" i="1"/>
  <c r="F470" i="1"/>
  <c r="H627" i="1"/>
  <c r="J627" i="1" s="1"/>
  <c r="L352" i="1"/>
  <c r="G633" i="1" s="1"/>
  <c r="H472" i="1"/>
  <c r="H672" i="1"/>
  <c r="C6" i="10" s="1"/>
  <c r="G672" i="1"/>
  <c r="C5" i="10" s="1"/>
  <c r="I660" i="1"/>
  <c r="I664" i="1" s="1"/>
  <c r="I672" i="1" s="1"/>
  <c r="C7" i="10" s="1"/>
  <c r="D20" i="10"/>
  <c r="D26" i="10"/>
  <c r="D17" i="10"/>
  <c r="D10" i="10"/>
  <c r="D25" i="10"/>
  <c r="D12" i="10"/>
  <c r="D27" i="10"/>
  <c r="D15" i="10"/>
  <c r="D19" i="10"/>
  <c r="D18" i="10"/>
  <c r="C30" i="10"/>
  <c r="D22" i="10"/>
  <c r="D13" i="10"/>
  <c r="D11" i="10"/>
  <c r="D21" i="10"/>
  <c r="D24" i="10"/>
  <c r="D16" i="10"/>
  <c r="D33" i="13"/>
  <c r="D36" i="13" s="1"/>
  <c r="C41" i="10"/>
  <c r="D38" i="10" s="1"/>
  <c r="J637" i="1" l="1"/>
  <c r="J470" i="1"/>
  <c r="J476" i="1" s="1"/>
  <c r="H626" i="1" s="1"/>
  <c r="J626" i="1" s="1"/>
  <c r="H631" i="1"/>
  <c r="J631" i="1" s="1"/>
  <c r="H637" i="1"/>
  <c r="F474" i="1"/>
  <c r="F476" i="1" s="1"/>
  <c r="H622" i="1" s="1"/>
  <c r="J622" i="1" s="1"/>
  <c r="H632" i="1"/>
  <c r="J632" i="1" s="1"/>
  <c r="H633" i="1"/>
  <c r="J633" i="1" s="1"/>
  <c r="H474" i="1"/>
  <c r="H476" i="1" s="1"/>
  <c r="H624" i="1" s="1"/>
  <c r="I667" i="1"/>
  <c r="D28" i="10"/>
  <c r="D37" i="10"/>
  <c r="D36" i="10"/>
  <c r="D35" i="10"/>
  <c r="D40" i="10"/>
  <c r="D39" i="10"/>
  <c r="J624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<sst xmlns="http://schemas.openxmlformats.org/spreadsheetml/2006/main" count="3958" uniqueCount="916">
  <si>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</si>
  <si>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</si>
  <si>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</si>
  <si>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</si>
  <si>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</si>
  <si>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</si>
  <si>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</si>
  <si>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</si>
  <si>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</si>
  <si>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</si>
  <si>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</si>
  <si>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</si>
  <si>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</si>
  <si>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</si>
  <si>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</si>
  <si>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</si>
  <si>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</si>
  <si>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</si>
  <si>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</si>
  <si>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</si>
  <si>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</si>
  <si>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</si>
  <si>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</si>
  <si>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</si>
  <si>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</si>
  <si>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</si>
  <si>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</si>
  <si>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</si>
  <si>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</si>
  <si>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</si>
  <si>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</si>
  <si>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</si>
  <si>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</si>
  <si>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</si>
  <si>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</si>
  <si>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</si>
  <si>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</si>
  <si>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</si>
  <si>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</si>
  <si>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</si>
  <si>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</si>
  <si>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</si>
  <si>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</si>
  <si>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</si>
  <si>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</si>
  <si>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</si>
  <si>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</si>
  <si>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</si>
  <si>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</si>
  <si>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</si>
  <si>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</si>
  <si>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</si>
  <si>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</si>
  <si>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</si>
  <si>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</si>
  <si>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</si>
  <si>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</si>
  <si>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</si>
  <si>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</si>
  <si>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</si>
  <si>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</si>
  <si>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</si>
  <si>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</si>
  <si>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</si>
  <si>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</si>
  <si>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</si>
  <si>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</si>
  <si>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</si>
  <si>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</si>
  <si>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</si>
  <si>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</si>
  <si>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</si>
  <si>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</si>
  <si>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</si>
  <si>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</si>
  <si>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</si>
  <si>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</si>
  <si>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</si>
  <si>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</si>
  <si>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</si>
  <si>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</si>
  <si>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</si>
  <si>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</si>
  <si>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</si>
  <si>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</si>
  <si>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</si>
  <si>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</si>
  <si>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</si>
  <si>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</si>
  <si>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</si>
  <si>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</si>
  <si>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</si>
  <si>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</si>
  <si>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</si>
  <si>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</si>
  <si>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</si>
  <si>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</si>
  <si>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</si>
  <si>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</si>
  <si>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</si>
  <si>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</si>
  <si>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</si>
  <si>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</si>
  <si>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</si>
  <si>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</si>
  <si>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</si>
  <si>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</si>
  <si>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</si>
  <si>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</si>
  <si>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</si>
  <si>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</si>
  <si>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</si>
  <si>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</si>
  <si>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</si>
  <si>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</si>
  <si>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</si>
  <si>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</si>
  <si>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</si>
  <si>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</si>
  <si>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</si>
  <si>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</si>
  <si>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</si>
  <si>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</si>
  <si>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</si>
  <si>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</si>
  <si>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</si>
  <si>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</si>
  <si>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</si>
  <si>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</si>
  <si>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</si>
  <si>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</si>
  <si>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</si>
  <si>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</si>
  <si>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</si>
  <si>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</si>
  <si>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</si>
  <si>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</si>
  <si>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</si>
  <si>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</si>
  <si>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</si>
  <si>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</si>
  <si>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</si>
  <si>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</si>
  <si>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</si>
  <si>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</si>
  <si>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</si>
  <si>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</si>
  <si>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</si>
  <si>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</si>
  <si>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</si>
  <si>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</si>
  <si>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</si>
  <si>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</si>
  <si>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</si>
  <si>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</si>
  <si>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</si>
  <si>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</si>
  <si>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</si>
  <si>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</si>
  <si>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</si>
  <si>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</si>
  <si>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</si>
  <si>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</si>
  <si>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</si>
  <si>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</si>
  <si>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</si>
  <si>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</si>
  <si>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</si>
  <si>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</si>
  <si>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</si>
  <si>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</si>
  <si>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</si>
  <si>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</si>
  <si>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</si>
  <si>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</si>
  <si>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</si>
  <si>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</si>
  <si>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</si>
  <si>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</si>
  <si>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</si>
  <si>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</si>
  <si>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</si>
  <si>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</si>
  <si>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</si>
  <si>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</si>
  <si>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</si>
  <si>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</si>
  <si>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</si>
  <si>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</si>
  <si>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</si>
  <si>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</si>
  <si>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</si>
  <si>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</si>
  <si>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</si>
  <si>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</si>
  <si>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</si>
  <si>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</si>
  <si>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</si>
  <si>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</si>
  <si>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</si>
  <si>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</si>
  <si>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</si>
  <si>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</si>
  <si>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</si>
  <si>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</si>
  <si>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</si>
  <si>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</si>
  <si>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</si>
  <si>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</si>
  <si>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</si>
  <si>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</si>
  <si>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</si>
  <si>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</si>
  <si>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</si>
  <si>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</si>
  <si>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</si>
  <si>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</si>
  <si>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</si>
  <si>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</si>
  <si>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</si>
  <si>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</si>
  <si>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</si>
  <si>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</si>
  <si>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</si>
  <si>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</si>
  <si>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</si>
  <si>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</si>
  <si>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</si>
  <si>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</si>
  <si>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</si>
  <si>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</si>
  <si>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</si>
  <si>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</si>
  <si>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</si>
  <si>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</si>
  <si>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</si>
  <si>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</si>
  <si>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</si>
  <si>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</si>
  <si>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</si>
  <si>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</si>
  <si>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</si>
  <si>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</si>
  <si>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</si>
  <si>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</si>
  <si>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</si>
  <si>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</si>
  <si>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</si>
  <si>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</si>
  <si>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</si>
  <si>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</si>
  <si>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</si>
  <si>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</si>
  <si>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</si>
  <si>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</si>
  <si>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</si>
  <si>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</si>
  <si>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</si>
  <si>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</si>
  <si>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</si>
  <si>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</si>
  <si>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</si>
  <si>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</si>
  <si>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</si>
  <si>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</si>
  <si>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</si>
  <si>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</si>
  <si>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</si>
  <si>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</si>
  <si>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</si>
  <si>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</si>
  <si>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</si>
  <si>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</si>
  <si>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</si>
  <si>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</si>
  <si>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</si>
  <si>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</si>
  <si>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</si>
  <si>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</si>
  <si>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</si>
  <si>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</si>
  <si>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</si>
  <si>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</si>
  <si>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</si>
  <si>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</si>
  <si>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</si>
  <si>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</si>
  <si>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</si>
  <si>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</si>
  <si>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</si>
  <si>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</si>
  <si>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</si>
  <si>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</si>
  <si>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</si>
  <si>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</si>
  <si>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</si>
  <si>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</si>
  <si>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</si>
  <si>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</si>
  <si>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</si>
  <si>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</si>
  <si>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</si>
  <si>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</si>
  <si>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</si>
  <si>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</si>
  <si>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</si>
  <si>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</si>
  <si>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</si>
  <si>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</si>
  <si>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</si>
  <si>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</si>
  <si>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</si>
  <si>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</si>
  <si>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</si>
  <si>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</si>
  <si>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</si>
  <si>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</si>
  <si>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</si>
  <si>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</si>
  <si>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</si>
  <si>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</si>
  <si>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</si>
  <si>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</si>
  <si>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</si>
  <si>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</si>
  <si>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</si>
  <si>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</si>
  <si>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</si>
  <si>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</si>
  <si>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</si>
  <si>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</si>
  <si>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</si>
  <si>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</si>
  <si>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</si>
  <si>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</si>
  <si>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</si>
  <si>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</si>
  <si>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</si>
  <si>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</si>
  <si>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</si>
  <si>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</si>
  <si>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</si>
  <si>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</si>
  <si>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</si>
  <si>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</si>
  <si>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</si>
  <si>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</si>
  <si>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</si>
  <si>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</si>
  <si>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</si>
  <si>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</si>
  <si>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</si>
  <si>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</si>
  <si>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</si>
  <si>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</si>
  <si>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</si>
  <si>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</si>
  <si>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</si>
  <si>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</si>
  <si>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</si>
  <si>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</si>
  <si>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</si>
  <si>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</si>
  <si>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</si>
  <si>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</si>
  <si>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</si>
  <si>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</si>
  <si>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</si>
  <si>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</si>
  <si>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</si>
  <si>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</si>
  <si>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</si>
  <si>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</si>
  <si>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</si>
  <si>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</si>
  <si>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</si>
  <si>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</si>
  <si>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</si>
  <si>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</si>
  <si>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</si>
  <si>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</si>
  <si>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</si>
  <si>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</si>
  <si>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</si>
  <si>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</si>
  <si>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</si>
  <si>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</si>
  <si>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</si>
  <si>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</si>
  <si>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</si>
  <si>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</si>
  <si>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</si>
  <si>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</si>
  <si>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</si>
  <si>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</si>
  <si>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</si>
  <si>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</si>
  <si>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</si>
  <si>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</si>
  <si>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</si>
  <si>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</si>
  <si>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</si>
  <si>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</si>
  <si>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</si>
  <si>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</si>
  <si>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</si>
  <si>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</si>
  <si>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</si>
  <si>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</si>
  <si>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</si>
  <si>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</si>
  <si>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</si>
  <si>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</si>
  <si>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</si>
  <si>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</si>
  <si>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</si>
  <si>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</si>
  <si>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</si>
  <si>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</si>
  <si>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</si>
  <si>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</si>
  <si>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</si>
  <si>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</si>
  <si>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</si>
  <si>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</si>
  <si>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</si>
  <si>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</si>
  <si>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</si>
  <si>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</si>
  <si>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</si>
  <si>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</si>
  <si>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</si>
  <si>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</si>
  <si>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</si>
  <si>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</si>
  <si>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</si>
  <si>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</si>
  <si>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</si>
  <si>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</si>
  <si>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</si>
  <si>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</si>
  <si>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</si>
  <si>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</si>
  <si>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</si>
  <si>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</si>
  <si>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</si>
  <si>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</si>
  <si>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</si>
  <si>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</si>
  <si>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</si>
  <si>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</si>
  <si>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</si>
  <si>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</si>
  <si>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</si>
  <si>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</si>
  <si>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</si>
  <si>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</si>
  <si>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</si>
  <si>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</si>
  <si>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</si>
  <si>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</si>
  <si>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</si>
  <si>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</si>
  <si>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</si>
  <si>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</si>
  <si>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</si>
  <si>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</si>
  <si>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</si>
  <si>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</si>
  <si>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</si>
  <si>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</si>
  <si>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</si>
  <si>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</si>
  <si>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</si>
  <si>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</si>
  <si>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</si>
  <si>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</si>
  <si>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</si>
  <si>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</si>
  <si>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</si>
  <si>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</si>
  <si>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</si>
  <si>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</si>
  <si>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</si>
  <si>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</si>
  <si>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</si>
  <si>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</si>
  <si>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</si>
  <si>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</si>
  <si>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</si>
  <si>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</si>
  <si>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</si>
  <si>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</si>
  <si>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</si>
  <si>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</si>
  <si>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</si>
  <si>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</si>
  <si>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</si>
  <si>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</si>
  <si>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</si>
  <si>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</si>
  <si>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</si>
  <si>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</si>
  <si>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</si>
  <si>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</si>
  <si>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</si>
  <si>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</si>
  <si>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</si>
  <si>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</si>
  <si>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</si>
  <si>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</si>
  <si>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</si>
  <si>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</si>
  <si>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</si>
  <si>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</si>
  <si>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</si>
  <si>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</si>
  <si>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</si>
  <si>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</si>
  <si>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</si>
  <si>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</si>
  <si>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</si>
  <si>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</si>
  <si>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</si>
  <si>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</si>
  <si>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</si>
  <si>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</si>
  <si>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</si>
  <si>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</si>
  <si>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</si>
  <si>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</si>
  <si>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</si>
  <si>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</si>
  <si>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</si>
  <si>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</si>
  <si>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</si>
  <si>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</si>
  <si>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</si>
  <si>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</si>
  <si>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</si>
  <si>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</si>
  <si>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</si>
  <si>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</si>
  <si>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</si>
  <si>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</si>
  <si>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</si>
  <si>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</si>
  <si>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</si>
  <si>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</si>
  <si>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</si>
  <si>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</si>
  <si>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</si>
  <si>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</si>
  <si>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</si>
  <si>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</si>
  <si>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</si>
  <si>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</si>
  <si>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</si>
  <si>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</si>
  <si>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</si>
  <si>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</si>
  <si>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</si>
  <si>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</si>
  <si>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</si>
  <si>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</si>
  <si>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</si>
  <si>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</si>
  <si>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</si>
  <si>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</si>
  <si>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</si>
  <si>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</si>
  <si>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</si>
  <si>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</si>
  <si>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</si>
  <si>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</si>
  <si>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</si>
  <si>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</si>
  <si>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</si>
  <si>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</si>
  <si>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</si>
  <si>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</si>
  <si>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</si>
  <si>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</si>
  <si>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</si>
  <si>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</si>
  <si>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</si>
  <si>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</si>
  <si>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</si>
  <si>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</si>
  <si>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</si>
  <si>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</si>
  <si>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</si>
  <si>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</si>
  <si>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</si>
  <si>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</si>
  <si>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</si>
  <si>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</si>
  <si>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</si>
  <si>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</si>
  <si>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</si>
  <si>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</si>
  <si>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</si>
  <si>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</si>
  <si>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</si>
  <si>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</si>
  <si>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</si>
  <si>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</si>
  <si>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</si>
  <si>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</si>
  <si>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</si>
  <si>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</si>
  <si>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</si>
  <si>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</si>
  <si>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</si>
  <si>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</si>
  <si>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</si>
  <si>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</si>
  <si>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</si>
  <si>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</si>
  <si>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</si>
  <si>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</si>
  <si>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</si>
  <si>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</si>
  <si>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</si>
  <si>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</si>
  <si>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</si>
  <si>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</si>
  <si>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</si>
  <si>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</si>
  <si>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</si>
  <si>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</si>
  <si>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</si>
  <si>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</si>
  <si>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</si>
  <si>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</si>
  <si>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</si>
  <si>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</si>
  <si>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</si>
  <si>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</si>
  <si>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</si>
  <si>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</si>
  <si>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</si>
  <si>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</si>
  <si>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</si>
  <si>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</si>
  <si>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</si>
  <si>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</si>
  <si>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</si>
  <si>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</si>
  <si>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</si>
  <si>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</si>
  <si>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</si>
  <si>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</si>
  <si>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</si>
  <si>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</si>
  <si>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</si>
  <si>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</si>
  <si>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</si>
  <si>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</si>
  <si>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</si>
  <si>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</si>
  <si>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</si>
  <si>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</si>
  <si>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</si>
  <si>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</si>
  <si>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</si>
  <si>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</si>
  <si>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</si>
  <si>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</si>
  <si>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</si>
  <si>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</si>
  <si>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</si>
  <si>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</si>
  <si>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</si>
  <si>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</si>
  <si>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</si>
  <si>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</si>
  <si>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</si>
  <si>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</si>
  <si>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</si>
  <si>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</si>
  <si>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</si>
  <si>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</si>
  <si>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</si>
  <si>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</si>
  <si>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</si>
  <si>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</si>
  <si>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</si>
  <si>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</si>
  <si>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</si>
  <si>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</si>
  <si>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</si>
  <si>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</si>
  <si>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</si>
  <si>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</si>
  <si>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</si>
  <si>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</si>
  <si>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</si>
  <si>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</si>
  <si>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</si>
  <si>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</si>
  <si>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</si>
  <si>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</si>
  <si>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</si>
  <si>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</si>
  <si>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</si>
  <si>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</si>
  <si>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</si>
  <si>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</si>
  <si>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</si>
  <si>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</si>
  <si>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</si>
  <si>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</si>
  <si>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</si>
  <si>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</si>
  <si>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</si>
  <si>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</si>
  <si>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</si>
  <si>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</si>
  <si>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</si>
  <si>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</si>
  <si>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</si>
  <si>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</si>
  <si>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</si>
  <si>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</si>
  <si>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</si>
  <si>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</si>
  <si>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</si>
  <si>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</si>
  <si>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</si>
  <si>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</si>
  <si>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</si>
  <si>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</si>
  <si>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</si>
  <si>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</si>
  <si>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</si>
  <si>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</si>
  <si>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</si>
  <si>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</si>
  <si>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</si>
  <si>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</si>
  <si>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</si>
  <si>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</si>
  <si>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</si>
  <si>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</si>
  <si>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</si>
  <si>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</si>
  <si>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</si>
  <si>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</si>
  <si>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</si>
  <si>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</si>
  <si>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</si>
  <si>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</si>
  <si>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</si>
  <si>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</si>
  <si>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</si>
  <si>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</si>
  <si>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</si>
  <si>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</si>
  <si>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</si>
  <si>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</si>
  <si>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</si>
  <si>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</si>
  <si>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</si>
  <si>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</si>
  <si>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</si>
  <si>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</si>
  <si>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</si>
  <si>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</si>
  <si>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</si>
  <si>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</si>
  <si>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</si>
  <si>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</si>
  <si>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</si>
  <si>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</si>
  <si>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</si>
  <si>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</si>
  <si>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</si>
  <si>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</si>
  <si>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</si>
  <si>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</si>
  <si>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</si>
  <si>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</si>
  <si>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</si>
  <si>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</si>
  <si>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</si>
  <si>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</si>
  <si>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</si>
  <si>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</si>
  <si>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</si>
  <si>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</si>
  <si>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</si>
  <si>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</si>
  <si>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</si>
  <si>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</si>
  <si>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</si>
  <si>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</si>
  <si>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</si>
  <si>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</si>
  <si>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</si>
  <si>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</si>
  <si>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</si>
  <si>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</si>
  <si>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</si>
  <si>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</si>
  <si>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</si>
  <si>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</si>
  <si>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</si>
  <si>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</si>
  <si>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</si>
  <si>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</si>
  <si>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</si>
  <si>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</si>
  <si>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</si>
  <si>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</si>
  <si>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</si>
  <si>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</si>
  <si>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</si>
  <si>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</si>
  <si>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</si>
  <si>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</si>
  <si>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</si>
  <si>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</si>
  <si>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</si>
  <si>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</si>
  <si>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</si>
  <si>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</si>
  <si>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</si>
  <si>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</si>
  <si>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</si>
  <si>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</si>
  <si>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</si>
  <si>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</si>
  <si>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</si>
  <si>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</si>
  <si>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</si>
  <si>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</si>
  <si>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</si>
  <si>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</si>
  <si>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</si>
  <si>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</si>
  <si>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</si>
  <si>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</si>
  <si>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</si>
  <si>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</si>
  <si>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</si>
  <si>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</si>
  <si>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</si>
  <si>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</si>
  <si>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</si>
  <si>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</si>
  <si>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</si>
  <si>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</si>
  <si>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</si>
  <si>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</si>
  <si>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</si>
  <si>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</si>
  <si>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</si>
  <si>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</si>
  <si>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</si>
  <si>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</si>
  <si>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</si>
  <si>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</si>
  <si>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</si>
  <si>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</si>
  <si>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</si>
  <si>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</si>
  <si>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</si>
  <si>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</si>
  <si>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</si>
  <si>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</si>
  <si>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</si>
  <si>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</si>
  <si>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</si>
  <si>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</si>
  <si>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</si>
  <si>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</si>
  <si>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</si>
  <si>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</si>
  <si>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</si>
  <si>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</si>
  <si>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</si>
  <si>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</si>
  <si>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</si>
  <si>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</si>
  <si>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</si>
  <si>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</si>
  <si>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</si>
  <si>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</si>
  <si>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</si>
  <si>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</si>
  <si>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</si>
  <si>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</si>
  <si>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</si>
  <si>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</si>
  <si>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</si>
  <si>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</si>
  <si>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</si>
  <si>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</si>
  <si>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</si>
  <si>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</si>
  <si>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</si>
  <si>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</si>
  <si>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</si>
  <si>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</si>
  <si>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</si>
  <si>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</si>
  <si>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</si>
  <si>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</si>
  <si>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</si>
  <si>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</si>
  <si>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</si>
  <si>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1/11</t>
  </si>
  <si>
    <t>1/32</t>
  </si>
  <si>
    <t>Audit and close out entries from PY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</si>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</sst>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295</v>
      </c>
      <c r="C2" s="21">
        <v>295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289537.34+715535.44</f>
        <v>1005072.78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1398375.16</v>
      </c>
      <c r="G10" s="18"/>
      <c r="H10" s="18"/>
      <c r="I10" s="18"/>
      <c r="J10" s="67">
        <f>SUM(I440)</f>
        <v>3108173.2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>
        <v>141368.10999999999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55547.32</v>
      </c>
      <c r="G13" s="18">
        <v>11707.37</v>
      </c>
      <c r="H13" s="18">
        <v>151587.99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758.89</v>
      </c>
      <c r="G14" s="18">
        <v>60923.94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15177.61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10400.379999999999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2470154.5299999998</v>
      </c>
      <c r="G19" s="41">
        <f>SUM(G9:G18)</f>
        <v>87808.92</v>
      </c>
      <c r="H19" s="41">
        <f>SUM(H9:H18)</f>
        <v>292956.09999999998</v>
      </c>
      <c r="I19" s="41">
        <f>SUM(I9:I18)</f>
        <v>0</v>
      </c>
      <c r="J19" s="41">
        <f>SUM(J9:J18)</f>
        <v>3108173.2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-34179.769999999997</v>
      </c>
      <c r="G22" s="18">
        <v>23959.89</v>
      </c>
      <c r="H22" s="18">
        <v>151587.99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-2801.95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14189.38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-36981.719999999994</v>
      </c>
      <c r="G32" s="41">
        <f>SUM(G22:G31)</f>
        <v>38149.269999999997</v>
      </c>
      <c r="H32" s="41">
        <f>SUM(H22:H31)</f>
        <v>151587.99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15177.61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10400.379999999999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34482.04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737705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141368.10999999999</v>
      </c>
      <c r="I48" s="18"/>
      <c r="J48" s="13">
        <f>SUM(I459)</f>
        <v>3108173.2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214610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1244420.8700000001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2507136.25</v>
      </c>
      <c r="G51" s="41">
        <f>SUM(G35:G50)</f>
        <v>49659.65</v>
      </c>
      <c r="H51" s="41">
        <f>SUM(H35:H50)</f>
        <v>141368.10999999999</v>
      </c>
      <c r="I51" s="41">
        <f>SUM(I35:I50)</f>
        <v>0</v>
      </c>
      <c r="J51" s="41">
        <f>SUM(J35:J50)</f>
        <v>3108173.2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2470154.5299999998</v>
      </c>
      <c r="G52" s="41">
        <f>G51+G32</f>
        <v>87808.92</v>
      </c>
      <c r="H52" s="41">
        <f>H51+H32</f>
        <v>292956.09999999998</v>
      </c>
      <c r="I52" s="41">
        <f>I51+I32</f>
        <v>0</v>
      </c>
      <c r="J52" s="41">
        <f>J51+J32</f>
        <v>3108173.2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25128630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5230</v>
      </c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25133860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19349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425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4528470.4000000004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30080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24194.12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4602518.5200000005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26244.55</v>
      </c>
      <c r="G96" s="18"/>
      <c r="H96" s="18"/>
      <c r="I96" s="18"/>
      <c r="J96" s="18">
        <v>1369.35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321400.46000000002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8662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10564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102264.49+32877.58</f>
        <v>135142.07</v>
      </c>
      <c r="G110" s="18"/>
      <c r="H110" s="18">
        <v>145361.16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180612.62</v>
      </c>
      <c r="G111" s="41">
        <f>SUM(G96:G110)</f>
        <v>321400.46000000002</v>
      </c>
      <c r="H111" s="41">
        <f>SUM(H96:H110)</f>
        <v>145361.16</v>
      </c>
      <c r="I111" s="41">
        <f>SUM(I96:I110)</f>
        <v>0</v>
      </c>
      <c r="J111" s="41">
        <f>SUM(J96:J110)</f>
        <v>1369.35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29916991.140000001</v>
      </c>
      <c r="G112" s="41">
        <f>G60+G111</f>
        <v>321400.46000000002</v>
      </c>
      <c r="H112" s="41">
        <f>H60+H79+H94+H111</f>
        <v>145361.16</v>
      </c>
      <c r="I112" s="41">
        <f>I60+I111</f>
        <v>0</v>
      </c>
      <c r="J112" s="41">
        <f>J60+J111</f>
        <v>1369.35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1857637.08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4379558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1992.49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6239187.5700000003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642315.9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438367.34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198203.2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9913.42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7747.23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1288799.8599999999</v>
      </c>
      <c r="G136" s="41">
        <f>SUM(G123:G135)</f>
        <v>7747.23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7527987.4299999997</v>
      </c>
      <c r="G140" s="41">
        <f>G121+SUM(G136:G137)</f>
        <v>7747.23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252037.07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66562.97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84410.74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253249.18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494674.46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188980.36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53033.94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188980.36</v>
      </c>
      <c r="G162" s="41">
        <f>SUM(G150:G161)</f>
        <v>253249.18</v>
      </c>
      <c r="H162" s="41">
        <f>SUM(H150:H161)</f>
        <v>950719.17999999993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188980.36</v>
      </c>
      <c r="G169" s="41">
        <f>G147+G162+SUM(G163:G168)</f>
        <v>253249.18</v>
      </c>
      <c r="H169" s="41">
        <f>H147+H162+SUM(H163:H168)</f>
        <v>950719.17999999993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550000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37633958.93</v>
      </c>
      <c r="G193" s="47">
        <f>G112+G140+G169+G192</f>
        <v>582396.87</v>
      </c>
      <c r="H193" s="47">
        <f>H112+H140+H169+H192</f>
        <v>1096080.3399999999</v>
      </c>
      <c r="I193" s="47">
        <f>I112+I140+I169+I192</f>
        <v>0</v>
      </c>
      <c r="J193" s="47">
        <f>J112+J140+J192</f>
        <v>551369.35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3179761.24+828780.03</f>
        <v>4008541.2700000005</v>
      </c>
      <c r="G197" s="18">
        <f>2247966.24</f>
        <v>2247966.2400000002</v>
      </c>
      <c r="H197" s="18">
        <v>6195.31</v>
      </c>
      <c r="I197" s="18">
        <f>123338.95</f>
        <v>123338.95</v>
      </c>
      <c r="J197" s="18">
        <f>25883.53</f>
        <v>25883.53</v>
      </c>
      <c r="K197" s="18">
        <f>10885.33</f>
        <v>10885.33</v>
      </c>
      <c r="L197" s="19">
        <f>SUM(F197:K197)</f>
        <v>6422810.6300000008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1379871.7</f>
        <v>1379871.7</v>
      </c>
      <c r="G198" s="18">
        <f>749855.23</f>
        <v>749855.23</v>
      </c>
      <c r="H198" s="18">
        <f>241274.35</f>
        <v>241274.35</v>
      </c>
      <c r="I198" s="18">
        <f>10940.88</f>
        <v>10940.88</v>
      </c>
      <c r="J198" s="18">
        <f>4622.73</f>
        <v>4622.7299999999996</v>
      </c>
      <c r="K198" s="18">
        <f>1411.39</f>
        <v>1411.39</v>
      </c>
      <c r="L198" s="19">
        <f>SUM(F198:K198)</f>
        <v>2387976.2799999998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27022.94</f>
        <v>27022.94</v>
      </c>
      <c r="G200" s="18">
        <f>5532.71</f>
        <v>5532.71</v>
      </c>
      <c r="H200" s="18">
        <v>679.69</v>
      </c>
      <c r="I200" s="18">
        <f>6703.43+679.69</f>
        <v>7383.1200000000008</v>
      </c>
      <c r="J200" s="18"/>
      <c r="K200" s="18"/>
      <c r="L200" s="19">
        <f>SUM(F200:K200)</f>
        <v>40618.46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143154+172102.89</f>
        <v>315256.89</v>
      </c>
      <c r="G202" s="18">
        <f>153121.88</f>
        <v>153121.88</v>
      </c>
      <c r="H202" s="18">
        <f>10909.09+206.2</f>
        <v>11115.29</v>
      </c>
      <c r="I202" s="18">
        <f>1297.04+3079.36</f>
        <v>4376.3999999999996</v>
      </c>
      <c r="J202" s="18">
        <f>2609.66</f>
        <v>2609.66</v>
      </c>
      <c r="K202" s="18"/>
      <c r="L202" s="19">
        <f t="shared" ref="L202:L208" si="0">SUM(F202:K202)</f>
        <v>486480.12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9526.09+26886.26+20022.52+188445.76+80113.9</f>
        <v>324994.53000000003</v>
      </c>
      <c r="G203" s="18">
        <f>160652.73</f>
        <v>160652.73000000001</v>
      </c>
      <c r="H203" s="18">
        <f>38400.37+20730.17+4134.96+107688.42</f>
        <v>170953.91999999998</v>
      </c>
      <c r="I203" s="18">
        <f>11537.61+39304.46+44298.92</f>
        <v>95140.989999999991</v>
      </c>
      <c r="J203" s="18">
        <f>14146.01+61717.91</f>
        <v>75863.92</v>
      </c>
      <c r="K203" s="18"/>
      <c r="L203" s="19">
        <f t="shared" si="0"/>
        <v>827606.09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4420.44+226168.59+17114.18</f>
        <v>247703.21</v>
      </c>
      <c r="G204" s="18">
        <f>106068.41</f>
        <v>106068.41</v>
      </c>
      <c r="H204" s="18">
        <f>46220.55+73331.04+4756.78</f>
        <v>124308.37</v>
      </c>
      <c r="I204" s="18">
        <f>981.72+19572.06+1257.42</f>
        <v>21811.200000000004</v>
      </c>
      <c r="J204" s="18">
        <f>252.66</f>
        <v>252.66</v>
      </c>
      <c r="K204" s="18">
        <f>1821.82+1147.02+68.82</f>
        <v>3037.6600000000003</v>
      </c>
      <c r="L204" s="19">
        <f t="shared" si="0"/>
        <v>503181.50999999995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450411.68</f>
        <v>450411.68</v>
      </c>
      <c r="G205" s="18">
        <f>227935.94</f>
        <v>227935.94</v>
      </c>
      <c r="H205" s="18">
        <f>27237.88+16312+17140.58</f>
        <v>60690.460000000006</v>
      </c>
      <c r="I205" s="18">
        <f>14743.79</f>
        <v>14743.79</v>
      </c>
      <c r="J205" s="18">
        <f>2917</f>
        <v>2917</v>
      </c>
      <c r="K205" s="18">
        <f>1795</f>
        <v>1795</v>
      </c>
      <c r="L205" s="19">
        <f t="shared" si="0"/>
        <v>758493.87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>SUM(F206:K206)</f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359313.57</v>
      </c>
      <c r="G207" s="18">
        <f>208505.04</f>
        <v>208505.04</v>
      </c>
      <c r="H207" s="18">
        <v>176817.15</v>
      </c>
      <c r="I207" s="18">
        <v>152840.79999999999</v>
      </c>
      <c r="J207" s="18">
        <v>730.55</v>
      </c>
      <c r="K207" s="18">
        <v>472.93</v>
      </c>
      <c r="L207" s="19">
        <f>SUM(F207:K207)</f>
        <v>898680.04000000015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154958.86</f>
        <v>154958.85999999999</v>
      </c>
      <c r="G208" s="18">
        <f>470.1+(102748.42*0.35)</f>
        <v>36432.046999999999</v>
      </c>
      <c r="H208" s="18">
        <f>31392.24+72981.88+22191.47+5237</f>
        <v>131802.59000000003</v>
      </c>
      <c r="I208" s="18">
        <f>29238.01</f>
        <v>29238.01</v>
      </c>
      <c r="J208" s="18">
        <f>688.28</f>
        <v>688.28</v>
      </c>
      <c r="K208" s="18">
        <f>101.35</f>
        <v>101.35</v>
      </c>
      <c r="L208" s="19">
        <f t="shared" si="0"/>
        <v>353221.13699999999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7268074.6500000013</v>
      </c>
      <c r="G211" s="41">
        <f t="shared" si="1"/>
        <v>3896070.227</v>
      </c>
      <c r="H211" s="41">
        <f t="shared" si="1"/>
        <v>923837.12999999989</v>
      </c>
      <c r="I211" s="41">
        <f t="shared" si="1"/>
        <v>459814.13999999996</v>
      </c>
      <c r="J211" s="41">
        <f t="shared" si="1"/>
        <v>113568.33</v>
      </c>
      <c r="K211" s="41">
        <f t="shared" si="1"/>
        <v>17703.659999999996</v>
      </c>
      <c r="L211" s="41">
        <f t="shared" si="1"/>
        <v>12679068.137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2757661.22+115345.28</f>
        <v>2873006.5</v>
      </c>
      <c r="G215" s="18">
        <f>1424808</f>
        <v>1424808</v>
      </c>
      <c r="H215" s="18">
        <v>15870.16</v>
      </c>
      <c r="I215" s="18">
        <f>74418.94</f>
        <v>74418.94</v>
      </c>
      <c r="J215" s="18">
        <f>18688.54</f>
        <v>18688.54</v>
      </c>
      <c r="K215" s="18">
        <f>9926.46</f>
        <v>9926.4599999999991</v>
      </c>
      <c r="L215" s="19">
        <f>SUM(F215:K215)</f>
        <v>4416718.6000000006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965752.05</f>
        <v>965752.05</v>
      </c>
      <c r="G216" s="18">
        <f>663394.69</f>
        <v>663394.68999999994</v>
      </c>
      <c r="H216" s="18">
        <f>314501.75</f>
        <v>314501.75</v>
      </c>
      <c r="I216" s="18">
        <f>13914.46</f>
        <v>13914.46</v>
      </c>
      <c r="J216" s="18">
        <f>10860.96</f>
        <v>10860.96</v>
      </c>
      <c r="K216" s="18">
        <f>1108.18</f>
        <v>1108.18</v>
      </c>
      <c r="L216" s="19">
        <f>SUM(F216:K216)</f>
        <v>1969532.0899999999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72869+18209.74+3440</f>
        <v>94518.74</v>
      </c>
      <c r="G218" s="18">
        <f>19516.79</f>
        <v>19516.79</v>
      </c>
      <c r="H218" s="18">
        <f>12978.91+533.67</f>
        <v>13512.58</v>
      </c>
      <c r="I218" s="18">
        <f>8326.41+533.67</f>
        <v>8860.08</v>
      </c>
      <c r="J218" s="18">
        <f>1525</f>
        <v>1525</v>
      </c>
      <c r="K218" s="18">
        <f>430</f>
        <v>430</v>
      </c>
      <c r="L218" s="19">
        <f>SUM(F218:K218)</f>
        <v>138363.19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120824+86421.28</f>
        <v>207245.28</v>
      </c>
      <c r="G220" s="18">
        <f>110747.32</f>
        <v>110747.32</v>
      </c>
      <c r="H220" s="18">
        <f>55934.77+161.9</f>
        <v>56096.67</v>
      </c>
      <c r="I220" s="18">
        <f>694.39+854.49+2998.75</f>
        <v>4547.63</v>
      </c>
      <c r="J220" s="18"/>
      <c r="K220" s="18"/>
      <c r="L220" s="19">
        <f t="shared" ref="L220:L226" si="2">SUM(F220:K220)</f>
        <v>378636.89999999997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7481.97+9933.52+15721.11+87817.75+62903.94</f>
        <v>183858.29</v>
      </c>
      <c r="G221" s="18">
        <f>74744.28</f>
        <v>74744.28</v>
      </c>
      <c r="H221" s="18">
        <f>21315.93+16276.73+84553.85</f>
        <v>122146.51000000001</v>
      </c>
      <c r="I221" s="18">
        <f>9059+18856.03+32731.31</f>
        <v>60646.34</v>
      </c>
      <c r="J221" s="18">
        <f>44574.29</f>
        <v>44574.29</v>
      </c>
      <c r="K221" s="18"/>
      <c r="L221" s="19">
        <f t="shared" si="2"/>
        <v>485969.71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3470.8+177581.08+13437.56</f>
        <v>194489.43999999997</v>
      </c>
      <c r="G222" s="18">
        <f>83281.87</f>
        <v>83281.87</v>
      </c>
      <c r="H222" s="18">
        <f>36291.05+57577.42+3734.89</f>
        <v>97603.36</v>
      </c>
      <c r="I222" s="18">
        <f>770.82+15367.42+987.29</f>
        <v>17125.53</v>
      </c>
      <c r="J222" s="18">
        <f>198.38</f>
        <v>198.38</v>
      </c>
      <c r="K222" s="18">
        <f>1430.44+900.61+54.03</f>
        <v>2385.0800000000004</v>
      </c>
      <c r="L222" s="19">
        <f t="shared" si="2"/>
        <v>395083.66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385624.8</f>
        <v>385624.8</v>
      </c>
      <c r="G223" s="18">
        <f>198409.76</f>
        <v>198409.76</v>
      </c>
      <c r="H223" s="18">
        <f>18136.02+2378.89+7648.09</f>
        <v>28163</v>
      </c>
      <c r="I223" s="18">
        <f>5666.24</f>
        <v>5666.24</v>
      </c>
      <c r="J223" s="18">
        <f>598.99</f>
        <v>598.99</v>
      </c>
      <c r="K223" s="18">
        <f>2657.94</f>
        <v>2657.94</v>
      </c>
      <c r="L223" s="19">
        <f t="shared" si="2"/>
        <v>621120.73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327303.63</f>
        <v>327303.63</v>
      </c>
      <c r="G225" s="18">
        <f>192228.91</f>
        <v>192228.91</v>
      </c>
      <c r="H225" s="18">
        <f>179294.75</f>
        <v>179294.75</v>
      </c>
      <c r="I225" s="18">
        <f>146509.82</f>
        <v>146509.82</v>
      </c>
      <c r="J225" s="18">
        <f>275.42</f>
        <v>275.42</v>
      </c>
      <c r="K225" s="18">
        <f>371.33</f>
        <v>371.33</v>
      </c>
      <c r="L225" s="19">
        <f t="shared" si="2"/>
        <v>845983.8600000001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17234.01+74394.49+24947.3+2964.37+6673.25</f>
        <v>126213.42</v>
      </c>
      <c r="G226" s="18">
        <f>29186.38</f>
        <v>29186.38</v>
      </c>
      <c r="H226" s="18">
        <f>24648.29+57303.27+17424.11+10397</f>
        <v>109772.67</v>
      </c>
      <c r="I226" s="18">
        <f>1248.59+15077.56+6630.69</f>
        <v>22956.84</v>
      </c>
      <c r="J226" s="18">
        <f>540.42</f>
        <v>540.41999999999996</v>
      </c>
      <c r="K226" s="18">
        <f>79.58</f>
        <v>79.58</v>
      </c>
      <c r="L226" s="19">
        <f t="shared" si="2"/>
        <v>288749.31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5358012.1499999994</v>
      </c>
      <c r="G229" s="41">
        <f>SUM(G215:G228)</f>
        <v>2796318</v>
      </c>
      <c r="H229" s="41">
        <f>SUM(H215:H228)</f>
        <v>936961.45000000007</v>
      </c>
      <c r="I229" s="41">
        <f>SUM(I215:I228)</f>
        <v>354645.88000000006</v>
      </c>
      <c r="J229" s="41">
        <f>SUM(J215:J228)</f>
        <v>77262.000000000015</v>
      </c>
      <c r="K229" s="41">
        <f t="shared" si="3"/>
        <v>16958.570000000003</v>
      </c>
      <c r="L229" s="41">
        <f t="shared" si="3"/>
        <v>9540158.0500000007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3258747.31+191626.24</f>
        <v>3450373.55</v>
      </c>
      <c r="G233" s="18">
        <f>1675908.75</f>
        <v>1675908.75</v>
      </c>
      <c r="H233" s="18">
        <v>42898.16</v>
      </c>
      <c r="I233" s="18">
        <f>142897.48</f>
        <v>142897.48000000001</v>
      </c>
      <c r="J233" s="18">
        <f>51682.09</f>
        <v>51682.09</v>
      </c>
      <c r="K233" s="18">
        <v>14056.75</v>
      </c>
      <c r="L233" s="19">
        <f>SUM(F233:K233)</f>
        <v>5377816.7800000003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797647.37</f>
        <v>797647.37</v>
      </c>
      <c r="G234" s="18">
        <f>446867.67</f>
        <v>446867.67</v>
      </c>
      <c r="H234" s="18">
        <f>1009451.15</f>
        <v>1009451.15</v>
      </c>
      <c r="I234" s="18">
        <f>3818.06</f>
        <v>3818.06</v>
      </c>
      <c r="J234" s="18">
        <f>2901.32</f>
        <v>2901.32</v>
      </c>
      <c r="K234" s="18">
        <f>1479.5</f>
        <v>1479.5</v>
      </c>
      <c r="L234" s="19">
        <f>SUM(F234:K234)</f>
        <v>2262165.0699999998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471230.58</f>
        <v>471230.58</v>
      </c>
      <c r="I235" s="18"/>
      <c r="J235" s="18"/>
      <c r="K235" s="18"/>
      <c r="L235" s="19">
        <f>SUM(F235:K235)</f>
        <v>471230.58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326787.37+22706.67</f>
        <v>349494.04</v>
      </c>
      <c r="G236" s="18">
        <f>67495.78</f>
        <v>67495.78</v>
      </c>
      <c r="H236" s="18">
        <f>104349.44+712.49</f>
        <v>105061.93000000001</v>
      </c>
      <c r="I236" s="18">
        <f>64090.32+712.49</f>
        <v>64802.81</v>
      </c>
      <c r="J236" s="18">
        <f>5486.92</f>
        <v>5486.92</v>
      </c>
      <c r="K236" s="18">
        <f>44210.77</f>
        <v>44210.77</v>
      </c>
      <c r="L236" s="19">
        <f>SUM(F236:K236)</f>
        <v>636552.25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385009.28+89173.03</f>
        <v>474182.31000000006</v>
      </c>
      <c r="G238" s="18">
        <f>259796.77</f>
        <v>259796.77</v>
      </c>
      <c r="H238" s="18">
        <f>11321.34+216.15</f>
        <v>11537.49</v>
      </c>
      <c r="I238" s="18">
        <f>7831.17+3727.49</f>
        <v>11558.66</v>
      </c>
      <c r="J238" s="18">
        <f>1695</f>
        <v>1695</v>
      </c>
      <c r="K238" s="18">
        <f>100</f>
        <v>100</v>
      </c>
      <c r="L238" s="19">
        <f t="shared" ref="L238:L244" si="4">SUM(F238:K238)</f>
        <v>758870.2300000001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9988.94+96555.83+20988.77+98075.7+83980.02</f>
        <v>309589.26</v>
      </c>
      <c r="G239" s="18">
        <f>145254.64</f>
        <v>145254.64000000001</v>
      </c>
      <c r="H239" s="18">
        <f>25852.58+21730.56+1100+107688.42</f>
        <v>156371.56</v>
      </c>
      <c r="I239" s="18">
        <f>12094.39+44504.95+27580.47</f>
        <v>84179.81</v>
      </c>
      <c r="J239" s="18">
        <f>4490+68585.49</f>
        <v>73075.490000000005</v>
      </c>
      <c r="K239" s="18"/>
      <c r="L239" s="19">
        <f t="shared" si="4"/>
        <v>768470.76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4633.76+237082.98+17940.07</f>
        <v>259656.81000000003</v>
      </c>
      <c r="G240" s="18">
        <f>111187.03</f>
        <v>111187.03</v>
      </c>
      <c r="H240" s="18">
        <f>48451.05+76869.83+4986.33</f>
        <v>130307.21</v>
      </c>
      <c r="I240" s="18">
        <f>1029.1+20516.56+1318.1</f>
        <v>22863.759999999998</v>
      </c>
      <c r="J240" s="18">
        <f>264.85</f>
        <v>264.85000000000002</v>
      </c>
      <c r="K240" s="18">
        <f>1202.37+72.14+1909.74</f>
        <v>3184.25</v>
      </c>
      <c r="L240" s="19">
        <f t="shared" si="4"/>
        <v>527463.91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345911.72</f>
        <v>345911.72</v>
      </c>
      <c r="G241" s="18">
        <f>169589.92</f>
        <v>169589.92</v>
      </c>
      <c r="H241" s="18">
        <f>24034.99+6971.18+19710.32</f>
        <v>50716.490000000005</v>
      </c>
      <c r="I241" s="18">
        <f>20361.06</f>
        <v>20361.060000000001</v>
      </c>
      <c r="J241" s="18">
        <f>10707.61</f>
        <v>10707.61</v>
      </c>
      <c r="K241" s="18">
        <f>3227</f>
        <v>3227</v>
      </c>
      <c r="L241" s="19">
        <f t="shared" si="4"/>
        <v>600513.80000000005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335744.32</f>
        <v>335744.32</v>
      </c>
      <c r="G243" s="18">
        <f>205377.06-2838.97</f>
        <v>202538.09</v>
      </c>
      <c r="H243" s="18">
        <f>335163.47+2274.98</f>
        <v>337438.44999999995</v>
      </c>
      <c r="I243" s="18">
        <f>204800.71</f>
        <v>204800.71</v>
      </c>
      <c r="J243" s="18">
        <f>547.65</f>
        <v>547.65</v>
      </c>
      <c r="K243" s="18">
        <f>495.75</f>
        <v>495.75</v>
      </c>
      <c r="L243" s="19">
        <f t="shared" si="4"/>
        <v>1081564.97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23008.59+99321.77+33306.36+12975.76+33252.72+6214.39</f>
        <v>208079.59000000003</v>
      </c>
      <c r="G244" s="18">
        <f>42135.45</f>
        <v>42135.45</v>
      </c>
      <c r="H244" s="18">
        <f>32907.16+76503.82+23262.38+63480.95+17349+5973</f>
        <v>219476.31</v>
      </c>
      <c r="I244" s="18">
        <f>1666.96+20129.59+8852.42</f>
        <v>30648.97</v>
      </c>
      <c r="J244" s="18">
        <f>721.5</f>
        <v>721.5</v>
      </c>
      <c r="K244" s="18">
        <f>106.25</f>
        <v>106.25</v>
      </c>
      <c r="L244" s="19">
        <f t="shared" si="4"/>
        <v>501168.07000000007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6530678.9699999988</v>
      </c>
      <c r="G247" s="41">
        <f t="shared" si="5"/>
        <v>3120774.0999999996</v>
      </c>
      <c r="H247" s="41">
        <f t="shared" si="5"/>
        <v>2534489.33</v>
      </c>
      <c r="I247" s="41">
        <f t="shared" si="5"/>
        <v>585931.31999999995</v>
      </c>
      <c r="J247" s="41">
        <f t="shared" si="5"/>
        <v>147082.43000000002</v>
      </c>
      <c r="K247" s="41">
        <f t="shared" si="5"/>
        <v>66860.26999999999</v>
      </c>
      <c r="L247" s="41">
        <f t="shared" si="5"/>
        <v>12985816.420000002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504214.23</f>
        <v>504214.23</v>
      </c>
      <c r="I255" s="18"/>
      <c r="J255" s="18"/>
      <c r="K255" s="18"/>
      <c r="L255" s="19">
        <f t="shared" si="6"/>
        <v>504214.23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504214.23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504214.23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19156765.77</v>
      </c>
      <c r="G257" s="41">
        <f t="shared" si="8"/>
        <v>9813162.3269999996</v>
      </c>
      <c r="H257" s="41">
        <f t="shared" si="8"/>
        <v>4899502.1400000006</v>
      </c>
      <c r="I257" s="41">
        <f t="shared" si="8"/>
        <v>1400391.3399999999</v>
      </c>
      <c r="J257" s="41">
        <f t="shared" si="8"/>
        <v>337912.76</v>
      </c>
      <c r="K257" s="41">
        <f t="shared" si="8"/>
        <v>101522.49999999999</v>
      </c>
      <c r="L257" s="41">
        <f t="shared" si="8"/>
        <v>35709256.836999997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1185000</v>
      </c>
      <c r="L260" s="19">
        <f>SUM(F260:K260)</f>
        <v>1185000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765500</v>
      </c>
      <c r="L261" s="19">
        <f>SUM(F261:K261)</f>
        <v>765500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550000</v>
      </c>
      <c r="L266" s="19">
        <f t="shared" si="9"/>
        <v>550000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2500500</v>
      </c>
      <c r="L270" s="41">
        <f t="shared" si="9"/>
        <v>2500500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19156765.77</v>
      </c>
      <c r="G271" s="42">
        <f t="shared" si="11"/>
        <v>9813162.3269999996</v>
      </c>
      <c r="H271" s="42">
        <f t="shared" si="11"/>
        <v>4899502.1400000006</v>
      </c>
      <c r="I271" s="42">
        <f t="shared" si="11"/>
        <v>1400391.3399999999</v>
      </c>
      <c r="J271" s="42">
        <f t="shared" si="11"/>
        <v>337912.76</v>
      </c>
      <c r="K271" s="42">
        <f t="shared" si="11"/>
        <v>2602022.5</v>
      </c>
      <c r="L271" s="42">
        <f t="shared" si="11"/>
        <v>38209756.836999997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2824.62+199163.98+16250+2195.24</f>
        <v>220433.84</v>
      </c>
      <c r="G276" s="18">
        <f>366.36+48452.41+628.726+280.47</f>
        <v>49727.966000000008</v>
      </c>
      <c r="H276" s="18">
        <f>281.76</f>
        <v>281.76</v>
      </c>
      <c r="I276" s="18">
        <f>2878.41+5622.57+116.31</f>
        <v>8617.2899999999991</v>
      </c>
      <c r="J276" s="18"/>
      <c r="K276" s="18"/>
      <c r="L276" s="19">
        <f>SUM(F276:K276)</f>
        <v>279060.85599999997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119456.02+8401.29</f>
        <v>127857.31</v>
      </c>
      <c r="G277" s="18">
        <f>16099.79+681.33</f>
        <v>16781.120000000003</v>
      </c>
      <c r="H277" s="18">
        <f>32914.48+750</f>
        <v>33664.480000000003</v>
      </c>
      <c r="I277" s="18">
        <f>1137.93</f>
        <v>1137.93</v>
      </c>
      <c r="J277" s="18"/>
      <c r="K277" s="18"/>
      <c r="L277" s="19">
        <f>SUM(F277:K277)</f>
        <v>179440.84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12602.5</f>
        <v>12602.5</v>
      </c>
      <c r="G279" s="18">
        <f>2297.84</f>
        <v>2297.84</v>
      </c>
      <c r="H279" s="18">
        <f>564</f>
        <v>564</v>
      </c>
      <c r="I279" s="18">
        <f>263.72+1.63+122.1</f>
        <v>387.45000000000005</v>
      </c>
      <c r="J279" s="18"/>
      <c r="K279" s="18"/>
      <c r="L279" s="19">
        <f>SUM(F279:K279)</f>
        <v>15851.79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838.1</f>
        <v>838.1</v>
      </c>
      <c r="G281" s="18">
        <f>67.97</f>
        <v>67.97</v>
      </c>
      <c r="H281" s="18">
        <f>352.93</f>
        <v>352.93</v>
      </c>
      <c r="I281" s="18">
        <f>191.38</f>
        <v>191.38</v>
      </c>
      <c r="J281" s="18"/>
      <c r="K281" s="18"/>
      <c r="L281" s="19">
        <f t="shared" ref="L281:L287" si="12">SUM(F281:K281)</f>
        <v>1450.38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18635.02</f>
        <v>18635.02</v>
      </c>
      <c r="G282" s="18">
        <f>4506.77</f>
        <v>4506.7700000000004</v>
      </c>
      <c r="H282" s="18">
        <f>70.59+2282.03+10498.99+1258.38+547.04+1297.73+7991.67</f>
        <v>23946.43</v>
      </c>
      <c r="I282" s="18">
        <f>190.42+894.35+336.3+63.11</f>
        <v>1484.1799999999998</v>
      </c>
      <c r="J282" s="18">
        <f>1070.67</f>
        <v>1070.67</v>
      </c>
      <c r="K282" s="18">
        <f>500</f>
        <v>500</v>
      </c>
      <c r="L282" s="19">
        <f t="shared" si="12"/>
        <v>50143.07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f>1812.73</f>
        <v>1812.73</v>
      </c>
      <c r="I283" s="18"/>
      <c r="J283" s="18"/>
      <c r="K283" s="18"/>
      <c r="L283" s="19">
        <f t="shared" si="12"/>
        <v>1812.73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380366.77</v>
      </c>
      <c r="G290" s="42">
        <f t="shared" si="13"/>
        <v>73381.666000000012</v>
      </c>
      <c r="H290" s="42">
        <f t="shared" si="13"/>
        <v>60622.330000000009</v>
      </c>
      <c r="I290" s="42">
        <f t="shared" si="13"/>
        <v>11818.23</v>
      </c>
      <c r="J290" s="42">
        <f t="shared" si="13"/>
        <v>1070.67</v>
      </c>
      <c r="K290" s="42">
        <f t="shared" si="13"/>
        <v>500</v>
      </c>
      <c r="L290" s="41">
        <f t="shared" si="13"/>
        <v>527759.66599999997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1723.64+720</f>
        <v>2443.6400000000003</v>
      </c>
      <c r="G295" s="18">
        <f>220.21+55.08</f>
        <v>275.29000000000002</v>
      </c>
      <c r="H295" s="18"/>
      <c r="I295" s="18">
        <f>259.56+91.33</f>
        <v>350.89</v>
      </c>
      <c r="J295" s="18">
        <f>163+90</f>
        <v>253</v>
      </c>
      <c r="K295" s="18"/>
      <c r="L295" s="19">
        <f>SUM(F295:K295)</f>
        <v>3322.82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93793.44</f>
        <v>93793.44</v>
      </c>
      <c r="G296" s="18">
        <f>12641.09</f>
        <v>12641.09</v>
      </c>
      <c r="H296" s="18">
        <f>25843.5</f>
        <v>25843.5</v>
      </c>
      <c r="I296" s="18">
        <f>893.47</f>
        <v>893.47</v>
      </c>
      <c r="J296" s="18"/>
      <c r="K296" s="18"/>
      <c r="L296" s="19">
        <f>SUM(F296:K296)</f>
        <v>133171.5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>
        <f>7115.5</f>
        <v>7115.5</v>
      </c>
      <c r="I298" s="18">
        <f>1499+1.28+95.87</f>
        <v>1596.15</v>
      </c>
      <c r="J298" s="18"/>
      <c r="K298" s="18"/>
      <c r="L298" s="19">
        <f>SUM(F298:K298)</f>
        <v>8711.65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f>277.11</f>
        <v>277.11</v>
      </c>
      <c r="I300" s="18">
        <f>150.27</f>
        <v>150.27000000000001</v>
      </c>
      <c r="J300" s="18"/>
      <c r="K300" s="18"/>
      <c r="L300" s="19">
        <f t="shared" ref="L300:L306" si="14">SUM(F300:K300)</f>
        <v>427.38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770.26</f>
        <v>770.26</v>
      </c>
      <c r="G301" s="18">
        <f>160.39</f>
        <v>160.38999999999999</v>
      </c>
      <c r="H301" s="18">
        <f>55.42+1791.79+8243.5+988.04+429.52+1018.94+6274.83</f>
        <v>18802.04</v>
      </c>
      <c r="I301" s="18">
        <f>149.51+702.22+264.05+49.55</f>
        <v>1165.33</v>
      </c>
      <c r="J301" s="18">
        <f>840.66</f>
        <v>840.66</v>
      </c>
      <c r="K301" s="18"/>
      <c r="L301" s="19">
        <f t="shared" si="14"/>
        <v>21738.680000000004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>
        <f>1423.31</f>
        <v>1423.31</v>
      </c>
      <c r="I302" s="18"/>
      <c r="J302" s="18"/>
      <c r="K302" s="18"/>
      <c r="L302" s="19">
        <f t="shared" si="14"/>
        <v>1423.31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97007.34</v>
      </c>
      <c r="G309" s="42">
        <f t="shared" si="15"/>
        <v>13076.77</v>
      </c>
      <c r="H309" s="42">
        <f t="shared" si="15"/>
        <v>53461.46</v>
      </c>
      <c r="I309" s="42">
        <f t="shared" si="15"/>
        <v>4156.1100000000006</v>
      </c>
      <c r="J309" s="42">
        <f t="shared" si="15"/>
        <v>1093.6599999999999</v>
      </c>
      <c r="K309" s="42">
        <f t="shared" si="15"/>
        <v>0</v>
      </c>
      <c r="L309" s="41">
        <f t="shared" si="15"/>
        <v>168795.34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2301.18</f>
        <v>2301.1799999999998</v>
      </c>
      <c r="G314" s="18">
        <f>294</f>
        <v>294</v>
      </c>
      <c r="H314" s="18">
        <f>11212.42</f>
        <v>11212.42</v>
      </c>
      <c r="I314" s="18">
        <f>8398.27+121.93</f>
        <v>8520.2000000000007</v>
      </c>
      <c r="J314" s="18">
        <f>2987.93</f>
        <v>2987.93</v>
      </c>
      <c r="K314" s="18">
        <f>302.5</f>
        <v>302.5</v>
      </c>
      <c r="L314" s="19">
        <f>SUM(F314:K314)</f>
        <v>25618.230000000003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125220.7</f>
        <v>125220.7</v>
      </c>
      <c r="G315" s="18">
        <f>20645.73</f>
        <v>20645.73</v>
      </c>
      <c r="H315" s="18">
        <f>34502.85</f>
        <v>34502.85</v>
      </c>
      <c r="I315" s="18">
        <f>1192.85</f>
        <v>1192.8499999999999</v>
      </c>
      <c r="J315" s="18"/>
      <c r="K315" s="18"/>
      <c r="L315" s="19">
        <f>SUM(F315:K315)</f>
        <v>181562.13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>
        <f>3229.39</f>
        <v>3229.39</v>
      </c>
      <c r="I317" s="18">
        <f>10004.1+1.71+127.99</f>
        <v>10133.799999999999</v>
      </c>
      <c r="J317" s="18"/>
      <c r="K317" s="18">
        <f>4560.8</f>
        <v>4560.8</v>
      </c>
      <c r="L317" s="19">
        <f>SUM(F317:K317)</f>
        <v>17923.989999999998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1620</f>
        <v>1620</v>
      </c>
      <c r="G319" s="18">
        <f>376.51</f>
        <v>376.51</v>
      </c>
      <c r="H319" s="18">
        <f>369.96+19245</f>
        <v>19614.96</v>
      </c>
      <c r="I319" s="18">
        <f>200.62</f>
        <v>200.62</v>
      </c>
      <c r="J319" s="18"/>
      <c r="K319" s="18"/>
      <c r="L319" s="19">
        <f t="shared" ref="L319:L325" si="16">SUM(F319:K319)</f>
        <v>21812.089999999997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1028.35</f>
        <v>1028.3499999999999</v>
      </c>
      <c r="G320" s="18">
        <f>214.13</f>
        <v>214.13</v>
      </c>
      <c r="H320" s="18">
        <f>73.99+2392.16+11005.64+573.44+1360.36+8377.33</f>
        <v>23782.92</v>
      </c>
      <c r="I320" s="18">
        <f>199.61+937.51+1319.1+352.53+66.15</f>
        <v>2874.9</v>
      </c>
      <c r="J320" s="18">
        <f>1122.34</f>
        <v>1122.3399999999999</v>
      </c>
      <c r="K320" s="18"/>
      <c r="L320" s="19">
        <f t="shared" si="16"/>
        <v>29022.639999999999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>
        <f>1900.21</f>
        <v>1900.21</v>
      </c>
      <c r="I321" s="18"/>
      <c r="J321" s="18"/>
      <c r="K321" s="18"/>
      <c r="L321" s="19">
        <f t="shared" si="16"/>
        <v>1900.21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130170.23</v>
      </c>
      <c r="G328" s="42">
        <f t="shared" si="17"/>
        <v>21530.37</v>
      </c>
      <c r="H328" s="42">
        <f t="shared" si="17"/>
        <v>94242.75</v>
      </c>
      <c r="I328" s="42">
        <f t="shared" si="17"/>
        <v>22922.37</v>
      </c>
      <c r="J328" s="42">
        <f t="shared" si="17"/>
        <v>4110.2699999999995</v>
      </c>
      <c r="K328" s="42">
        <f t="shared" si="17"/>
        <v>4863.3</v>
      </c>
      <c r="L328" s="41">
        <f t="shared" si="17"/>
        <v>277839.29000000004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f>45107.5</f>
        <v>45107.5</v>
      </c>
      <c r="G333" s="18">
        <f>29354.53</f>
        <v>29354.53</v>
      </c>
      <c r="H333" s="18">
        <f>1826.13</f>
        <v>1826.13</v>
      </c>
      <c r="I333" s="18">
        <f>5120.38</f>
        <v>5120.38</v>
      </c>
      <c r="J333" s="18"/>
      <c r="K333" s="18">
        <f>159+2843.2-348.24</f>
        <v>2653.96</v>
      </c>
      <c r="L333" s="19">
        <f t="shared" si="18"/>
        <v>84062.500000000015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45107.5</v>
      </c>
      <c r="G337" s="41">
        <f t="shared" si="19"/>
        <v>29354.53</v>
      </c>
      <c r="H337" s="41">
        <f t="shared" si="19"/>
        <v>1826.13</v>
      </c>
      <c r="I337" s="41">
        <f t="shared" si="19"/>
        <v>5120.38</v>
      </c>
      <c r="J337" s="41">
        <f t="shared" si="19"/>
        <v>0</v>
      </c>
      <c r="K337" s="41">
        <f t="shared" si="19"/>
        <v>2653.96</v>
      </c>
      <c r="L337" s="41">
        <f t="shared" si="18"/>
        <v>84062.500000000015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652651.84</v>
      </c>
      <c r="G338" s="41">
        <f t="shared" si="20"/>
        <v>137343.33600000001</v>
      </c>
      <c r="H338" s="41">
        <f t="shared" si="20"/>
        <v>210152.67</v>
      </c>
      <c r="I338" s="41">
        <f t="shared" si="20"/>
        <v>44017.09</v>
      </c>
      <c r="J338" s="41">
        <f t="shared" si="20"/>
        <v>6274.5999999999995</v>
      </c>
      <c r="K338" s="41">
        <f t="shared" si="20"/>
        <v>8017.26</v>
      </c>
      <c r="L338" s="41">
        <f t="shared" si="20"/>
        <v>1058456.7960000001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652651.84</v>
      </c>
      <c r="G352" s="41">
        <f>G338</f>
        <v>137343.33600000001</v>
      </c>
      <c r="H352" s="41">
        <f>H338</f>
        <v>210152.67</v>
      </c>
      <c r="I352" s="41">
        <f>I338</f>
        <v>44017.09</v>
      </c>
      <c r="J352" s="41">
        <f>J338</f>
        <v>6274.5999999999995</v>
      </c>
      <c r="K352" s="47">
        <f>K338+K351</f>
        <v>8017.26</v>
      </c>
      <c r="L352" s="41">
        <f>L338+L351</f>
        <v>1058456.7960000001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(558078.85*0.35)-I358</f>
        <v>83829.997499999969</v>
      </c>
      <c r="I358" s="18">
        <f>F369</f>
        <v>111497.60000000001</v>
      </c>
      <c r="J358" s="18"/>
      <c r="K358" s="18"/>
      <c r="L358" s="13">
        <f>SUM(F358:K358)</f>
        <v>195327.59749999997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>(558078.85*0.28)-I359</f>
        <v>66847.998000000007</v>
      </c>
      <c r="I359" s="18">
        <f>G369</f>
        <v>89414.080000000002</v>
      </c>
      <c r="J359" s="18"/>
      <c r="K359" s="18"/>
      <c r="L359" s="19">
        <f>SUM(F359:K359)</f>
        <v>156262.07800000001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(558078.85*0.37)-I360</f>
        <v>88334.854499999987</v>
      </c>
      <c r="I360" s="18">
        <f>H369</f>
        <v>118154.32</v>
      </c>
      <c r="J360" s="18"/>
      <c r="K360" s="18"/>
      <c r="L360" s="19">
        <f>SUM(F360:K360)</f>
        <v>206489.17449999999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239012.84999999995</v>
      </c>
      <c r="I362" s="47">
        <f t="shared" si="22"/>
        <v>319066</v>
      </c>
      <c r="J362" s="47">
        <f t="shared" si="22"/>
        <v>0</v>
      </c>
      <c r="K362" s="47">
        <f t="shared" si="22"/>
        <v>0</v>
      </c>
      <c r="L362" s="47">
        <f t="shared" si="22"/>
        <v>558078.85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85019.199999999997</v>
      </c>
      <c r="G367" s="18">
        <v>68015.360000000001</v>
      </c>
      <c r="H367" s="18">
        <v>89877.440000000002</v>
      </c>
      <c r="I367" s="56">
        <f>SUM(F367:H367)</f>
        <v>242912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26478.400000000001</v>
      </c>
      <c r="G368" s="63">
        <v>21398.720000000001</v>
      </c>
      <c r="H368" s="63">
        <v>28276.880000000001</v>
      </c>
      <c r="I368" s="56">
        <f>SUM(F368:H368)</f>
        <v>76154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111497.60000000001</v>
      </c>
      <c r="G369" s="47">
        <f>SUM(G367:G368)</f>
        <v>89414.080000000002</v>
      </c>
      <c r="H369" s="47">
        <f>SUM(H367:H368)</f>
        <v>118154.32</v>
      </c>
      <c r="I369" s="47">
        <f>SUM(I367:I368)</f>
        <v>319066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85123.36</v>
      </c>
      <c r="I378" s="18"/>
      <c r="J378" s="18"/>
      <c r="K378" s="18"/>
      <c r="L378" s="13">
        <f t="shared" si="23"/>
        <v>85123.36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85123.36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85123.36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300000</v>
      </c>
      <c r="H389" s="18">
        <v>-130.81</v>
      </c>
      <c r="I389" s="18"/>
      <c r="J389" s="24" t="s">
        <v>288</v>
      </c>
      <c r="K389" s="24" t="s">
        <v>288</v>
      </c>
      <c r="L389" s="56">
        <f t="shared" si="25"/>
        <v>299869.19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300000</v>
      </c>
      <c r="H393" s="139">
        <f>SUM(H387:H392)</f>
        <v>-130.81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299869.19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250000</v>
      </c>
      <c r="H397" s="18">
        <v>1096.4100000000001</v>
      </c>
      <c r="I397" s="18"/>
      <c r="J397" s="24" t="s">
        <v>288</v>
      </c>
      <c r="K397" s="24" t="s">
        <v>288</v>
      </c>
      <c r="L397" s="56">
        <f t="shared" si="26"/>
        <v>251096.41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467.23</v>
      </c>
      <c r="I399" s="18"/>
      <c r="J399" s="24" t="s">
        <v>288</v>
      </c>
      <c r="K399" s="24" t="s">
        <v>288</v>
      </c>
      <c r="L399" s="56">
        <f t="shared" si="26"/>
        <v>467.23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304.77-259.5-108.75</f>
        <v>-63.480000000000018</v>
      </c>
      <c r="I400" s="18"/>
      <c r="J400" s="24" t="s">
        <v>288</v>
      </c>
      <c r="K400" s="24" t="s">
        <v>288</v>
      </c>
      <c r="L400" s="56">
        <f t="shared" si="26"/>
        <v>-63.480000000000018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250000</v>
      </c>
      <c r="H401" s="47">
        <f>SUM(H395:H400)</f>
        <v>1500.16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251500.16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550000</v>
      </c>
      <c r="H408" s="47">
        <f>H393+H401+H407</f>
        <v>1369.3500000000001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551369.35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3108173.2</v>
      </c>
      <c r="G440" s="18"/>
      <c r="H440" s="18"/>
      <c r="I440" s="56">
        <f t="shared" si="33"/>
        <v>3108173.2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3108173.2</v>
      </c>
      <c r="G446" s="13">
        <f>SUM(G439:G445)</f>
        <v>0</v>
      </c>
      <c r="H446" s="13">
        <f>SUM(H439:H445)</f>
        <v>0</v>
      </c>
      <c r="I446" s="13">
        <f>SUM(I439:I445)</f>
        <v>3108173.2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3108173.2</v>
      </c>
      <c r="G459" s="18"/>
      <c r="H459" s="18"/>
      <c r="I459" s="56">
        <f t="shared" si="34"/>
        <v>3108173.2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3108173.2</v>
      </c>
      <c r="G460" s="83">
        <f>SUM(G454:G459)</f>
        <v>0</v>
      </c>
      <c r="H460" s="83">
        <f>SUM(H454:H459)</f>
        <v>0</v>
      </c>
      <c r="I460" s="83">
        <f>SUM(I454:I459)</f>
        <v>3108173.2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3108173.2</v>
      </c>
      <c r="G461" s="42">
        <f>G452+G460</f>
        <v>0</v>
      </c>
      <c r="H461" s="42">
        <f>H452+H460</f>
        <v>0</v>
      </c>
      <c r="I461" s="42">
        <f>I452+I460</f>
        <v>3108173.2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2953898.71</v>
      </c>
      <c r="G465" s="18">
        <v>25341.62</v>
      </c>
      <c r="H465" s="18">
        <v>103744.57</v>
      </c>
      <c r="I465" s="18">
        <v>85123.36</v>
      </c>
      <c r="J465" s="18">
        <v>2556803.85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37633958.93</v>
      </c>
      <c r="G468" s="18">
        <v>582396.87</v>
      </c>
      <c r="H468" s="18">
        <f>H193</f>
        <v>1096080.3399999999</v>
      </c>
      <c r="I468" s="18"/>
      <c r="J468" s="18">
        <f>L408</f>
        <v>551369.35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129035.45</v>
      </c>
      <c r="G469" s="18">
        <v>0.01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37762994.380000003</v>
      </c>
      <c r="G470" s="53">
        <f>SUM(G468:G469)</f>
        <v>582396.88</v>
      </c>
      <c r="H470" s="53">
        <f>SUM(H468:H469)</f>
        <v>1096080.3399999999</v>
      </c>
      <c r="I470" s="53">
        <f>SUM(I468:I469)</f>
        <v>0</v>
      </c>
      <c r="J470" s="53">
        <f>SUM(J468:J469)</f>
        <v>551369.35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38209756.836999997</v>
      </c>
      <c r="G472" s="18">
        <v>558078.85</v>
      </c>
      <c r="H472" s="18">
        <f>L338</f>
        <v>1058456.7960000001</v>
      </c>
      <c r="I472" s="18">
        <v>85123.36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0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38209756.836999997</v>
      </c>
      <c r="G474" s="53">
        <f>SUM(G472:G473)</f>
        <v>558078.85</v>
      </c>
      <c r="H474" s="53">
        <f>SUM(H472:H473)</f>
        <v>1058456.7960000001</v>
      </c>
      <c r="I474" s="53">
        <f>SUM(I472:I473)</f>
        <v>85123.36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2507136.2530000061</v>
      </c>
      <c r="G476" s="53">
        <f>(G465+G470)- G474</f>
        <v>49659.650000000023</v>
      </c>
      <c r="H476" s="53">
        <f>(H465+H470)- H474</f>
        <v>141368.11399999983</v>
      </c>
      <c r="I476" s="53">
        <f>(I465+I470)- I474</f>
        <v>0</v>
      </c>
      <c r="J476" s="53">
        <f>(J465+J470)- J474</f>
        <v>3108173.2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23650600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3.3778000000000001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18915000</v>
      </c>
      <c r="G495" s="18"/>
      <c r="H495" s="18"/>
      <c r="I495" s="18"/>
      <c r="J495" s="18"/>
      <c r="K495" s="53">
        <f>SUM(F495:J495)</f>
        <v>18915000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1185000</v>
      </c>
      <c r="G497" s="18"/>
      <c r="H497" s="18"/>
      <c r="I497" s="18"/>
      <c r="J497" s="18"/>
      <c r="K497" s="53">
        <f t="shared" si="35"/>
        <v>1185000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17730000</v>
      </c>
      <c r="G498" s="204"/>
      <c r="H498" s="204"/>
      <c r="I498" s="204"/>
      <c r="J498" s="204"/>
      <c r="K498" s="205">
        <f t="shared" si="35"/>
        <v>17730000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5606150</v>
      </c>
      <c r="G499" s="18"/>
      <c r="H499" s="18"/>
      <c r="I499" s="18"/>
      <c r="J499" s="18"/>
      <c r="K499" s="53">
        <f t="shared" si="35"/>
        <v>5606150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23336150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23336150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1185000</v>
      </c>
      <c r="G501" s="204"/>
      <c r="H501" s="204"/>
      <c r="I501" s="204"/>
      <c r="J501" s="204"/>
      <c r="K501" s="205">
        <f t="shared" si="35"/>
        <v>1185000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718100</v>
      </c>
      <c r="G502" s="18"/>
      <c r="H502" s="18"/>
      <c r="I502" s="18"/>
      <c r="J502" s="18"/>
      <c r="K502" s="53">
        <f t="shared" si="35"/>
        <v>718100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1903100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1903100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427582.14+519820.84+(187920.9*0.56)+129950.7+8401.29</f>
        <v>1190990.6739999999</v>
      </c>
      <c r="G521" s="18">
        <f>(331829.59+31816.24+6599.54+93793.11+54325.69+120629.43+5182.53+56034.4+4385.44+2904.04+(29947.14*0.35)+(1108.14*0.56)+(14213.94*0.56)+(29431.54*0.56)+863.98+642.7+38.63)-G531</f>
        <v>699258.09019999998</v>
      </c>
      <c r="H521" s="18">
        <f>(3939.37*0.35)+50630.84+129886.29+(11963.11*0.35)+750</f>
        <v>186832.99799999999</v>
      </c>
      <c r="I521" s="18">
        <f>8213.2+159.31+1039.62+(1386.5*0.35)+303.18</f>
        <v>10200.585000000001</v>
      </c>
      <c r="J521" s="18">
        <f>4356.16</f>
        <v>4356.16</v>
      </c>
      <c r="K521" s="18"/>
      <c r="L521" s="88">
        <f>SUM(F521:K521)</f>
        <v>2091638.5071999996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281045.28+431713.84+(181004*0.44)</f>
        <v>792400.88000000012</v>
      </c>
      <c r="G522" s="18">
        <f>(355026.57+35655.48+4938.56+63559.15+47644.12+70866.97+2727.65+44827.52+3508.35+(29947.14*0.28)+(1108.14*0.44)+(14213.94*0.44)+(29431.54*0.44))-G532</f>
        <v>620566.55599999998</v>
      </c>
      <c r="H522" s="18">
        <f>(3939.37*0.28)+170246.66+92638.38+(11963.11*0.28)</f>
        <v>267337.73440000002</v>
      </c>
      <c r="I522" s="18">
        <f>8300.42+3831.7+(1386.5*0.28)+694.97</f>
        <v>13215.309999999998</v>
      </c>
      <c r="J522" s="18">
        <f>10651.65</f>
        <v>10651.65</v>
      </c>
      <c r="K522" s="18"/>
      <c r="L522" s="88">
        <f>SUM(F522:K522)</f>
        <v>1704172.1304000001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370946.16+160098.28+20698.56</f>
        <v>551743</v>
      </c>
      <c r="G523" s="18">
        <f>(172673.27+16758.73+3480.18+49372.26+18131.95+73380.85+2291.5+43226.54+4636.03+(29947.14*0.37)+121.98+1239.68+2312.15+95.21)-G533</f>
        <v>350879.68679999997</v>
      </c>
      <c r="H523" s="18">
        <f>(3939.37*0.37)+136183.06+813059.32+(11963.11*0.37)</f>
        <v>955126.29759999993</v>
      </c>
      <c r="I523" s="18">
        <f>189.66+1759.49+606.85+(1386.5*0.37)</f>
        <v>3069.0050000000001</v>
      </c>
      <c r="J523" s="18">
        <f>16732.81+1652.2</f>
        <v>18385.010000000002</v>
      </c>
      <c r="K523" s="18"/>
      <c r="L523" s="88">
        <f>SUM(F523:K523)</f>
        <v>1879202.9993999999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2535134.554</v>
      </c>
      <c r="G524" s="108">
        <f t="shared" ref="G524:L524" si="36">SUM(G521:G523)</f>
        <v>1670704.3329999999</v>
      </c>
      <c r="H524" s="108">
        <f t="shared" si="36"/>
        <v>1409297.0299999998</v>
      </c>
      <c r="I524" s="108">
        <f t="shared" si="36"/>
        <v>26484.899999999998</v>
      </c>
      <c r="J524" s="108">
        <f t="shared" si="36"/>
        <v>33392.82</v>
      </c>
      <c r="K524" s="108">
        <f t="shared" si="36"/>
        <v>0</v>
      </c>
      <c r="L524" s="89">
        <f t="shared" si="36"/>
        <v>5675013.6370000001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280101.54</f>
        <v>280101.53999999998</v>
      </c>
      <c r="G526" s="18">
        <f>(43039.15*0.35)+(50863.72*0.35)+52.07</f>
        <v>32918.074499999995</v>
      </c>
      <c r="H526" s="18">
        <f>(118027.29*0.35)+12859.89+(30843.75*0.35)+(4996*0.35)+(34279.08*0.35)+(23142*0.35)</f>
        <v>86810.731999999989</v>
      </c>
      <c r="I526" s="18">
        <f>2188.5+(3224.25*0.35)</f>
        <v>3316.9875000000002</v>
      </c>
      <c r="J526" s="18">
        <f>299</f>
        <v>299</v>
      </c>
      <c r="K526" s="18"/>
      <c r="L526" s="88">
        <f>SUM(F526:K526)</f>
        <v>403446.33399999997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133358.6</f>
        <v>133358.6</v>
      </c>
      <c r="G527" s="18">
        <f>(43039.15*0.28)+(50863.72*0.28)</f>
        <v>26292.803600000003</v>
      </c>
      <c r="H527" s="18">
        <f>(118027.29*0.28)+14009.1+(30843.75*0.28)+(4996*0.28)+(34279.08*0.28)+(23142*0.28)</f>
        <v>73169.773599999986</v>
      </c>
      <c r="I527" s="18">
        <f>(3224.25*0.28)</f>
        <v>902.79000000000008</v>
      </c>
      <c r="J527" s="18"/>
      <c r="K527" s="18"/>
      <c r="L527" s="88">
        <f>SUM(F527:K527)</f>
        <v>233723.96720000001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105126.6</f>
        <v>105126.6</v>
      </c>
      <c r="G528" s="18">
        <f>(43039.15*0.37)+(50863.72*0.37)+2291.75</f>
        <v>37035.811900000001</v>
      </c>
      <c r="H528" s="18">
        <f>(118027.29*0.37)+10000+1783.31+(30843.75*0.37)+(4996*0.37)+(34279.08*0.37)+(23142*0.37)</f>
        <v>89959.914399999994</v>
      </c>
      <c r="I528" s="18">
        <f>(3224.25*0.37)</f>
        <v>1192.9725000000001</v>
      </c>
      <c r="J528" s="18"/>
      <c r="K528" s="18"/>
      <c r="L528" s="88">
        <f>SUM(F528:K528)</f>
        <v>233315.29880000002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518586.74</v>
      </c>
      <c r="G529" s="89">
        <f t="shared" ref="G529:L529" si="37">SUM(G526:G528)</f>
        <v>96246.69</v>
      </c>
      <c r="H529" s="89">
        <f t="shared" si="37"/>
        <v>249940.41999999998</v>
      </c>
      <c r="I529" s="89">
        <f t="shared" si="37"/>
        <v>5412.75</v>
      </c>
      <c r="J529" s="89">
        <f t="shared" si="37"/>
        <v>299</v>
      </c>
      <c r="K529" s="89">
        <f t="shared" si="37"/>
        <v>0</v>
      </c>
      <c r="L529" s="89">
        <f t="shared" si="37"/>
        <v>870485.6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151102.52</f>
        <v>151102.51999999999</v>
      </c>
      <c r="G531" s="18">
        <f>F531*0.3</f>
        <v>45330.755999999994</v>
      </c>
      <c r="H531" s="18"/>
      <c r="I531" s="18"/>
      <c r="J531" s="18"/>
      <c r="K531" s="18">
        <f>3999.07*0.35</f>
        <v>1399.6745000000001</v>
      </c>
      <c r="L531" s="88">
        <f>SUM(F531:K531)</f>
        <v>197832.95049999998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120882.02</f>
        <v>120882.02</v>
      </c>
      <c r="G532" s="18">
        <f>F532*0.3</f>
        <v>36264.606</v>
      </c>
      <c r="H532" s="18"/>
      <c r="I532" s="18"/>
      <c r="J532" s="18"/>
      <c r="K532" s="18">
        <f>3999.07*0.28</f>
        <v>1119.7396000000001</v>
      </c>
      <c r="L532" s="88">
        <f>SUM(F532:K532)</f>
        <v>158266.36559999999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159736.95</f>
        <v>159736.95000000001</v>
      </c>
      <c r="G533" s="18">
        <f>F533*0.3</f>
        <v>47921.084999999999</v>
      </c>
      <c r="H533" s="18"/>
      <c r="I533" s="18"/>
      <c r="J533" s="18"/>
      <c r="K533" s="18">
        <f>3999.07*0.37</f>
        <v>1479.6559</v>
      </c>
      <c r="L533" s="88">
        <f>SUM(F533:K533)</f>
        <v>209137.69090000002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431721.49</v>
      </c>
      <c r="G534" s="89">
        <f t="shared" ref="G534:L534" si="38">SUM(G531:G533)</f>
        <v>129516.44699999999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3999.0699999999997</v>
      </c>
      <c r="L534" s="89">
        <f t="shared" si="38"/>
        <v>565237.00699999998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4112.92*0.35</f>
        <v>1439.5219999999999</v>
      </c>
      <c r="I536" s="18"/>
      <c r="J536" s="18"/>
      <c r="K536" s="18"/>
      <c r="L536" s="88">
        <f>SUM(F536:K536)</f>
        <v>1439.5219999999999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4112.92*0.28</f>
        <v>1151.6176</v>
      </c>
      <c r="I537" s="18"/>
      <c r="J537" s="18"/>
      <c r="K537" s="18"/>
      <c r="L537" s="88">
        <f>SUM(F537:K537)</f>
        <v>1151.6176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4112.92*0.37</f>
        <v>1521.7804000000001</v>
      </c>
      <c r="I538" s="18"/>
      <c r="J538" s="18"/>
      <c r="K538" s="18"/>
      <c r="L538" s="88">
        <f>SUM(F538:K538)</f>
        <v>1521.7804000000001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4112.92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4112.92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f>31509.36</f>
        <v>31509.360000000001</v>
      </c>
      <c r="G541" s="18">
        <f>4521.9</f>
        <v>4521.8999999999996</v>
      </c>
      <c r="H541" s="18">
        <f>31131.69</f>
        <v>31131.69</v>
      </c>
      <c r="I541" s="18">
        <f>8374.8</f>
        <v>8374.7999999999993</v>
      </c>
      <c r="J541" s="18"/>
      <c r="K541" s="18"/>
      <c r="L541" s="88">
        <f>SUM(F541:K541)</f>
        <v>75537.75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f>25207.48</f>
        <v>25207.48</v>
      </c>
      <c r="G542" s="18">
        <f>3617.52</f>
        <v>3617.52</v>
      </c>
      <c r="H542" s="18">
        <f>24905.35</f>
        <v>24905.35</v>
      </c>
      <c r="I542" s="18">
        <f>6699.84</f>
        <v>6699.84</v>
      </c>
      <c r="J542" s="18"/>
      <c r="K542" s="18"/>
      <c r="L542" s="88">
        <f>SUM(F542:K542)</f>
        <v>60430.19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f>33309.89</f>
        <v>33309.89</v>
      </c>
      <c r="G543" s="18">
        <f>4780.29</f>
        <v>4780.29</v>
      </c>
      <c r="H543" s="18">
        <f>32910.65</f>
        <v>32910.65</v>
      </c>
      <c r="I543" s="18">
        <f>8853.36</f>
        <v>8853.36</v>
      </c>
      <c r="J543" s="18"/>
      <c r="K543" s="18"/>
      <c r="L543" s="88">
        <f>SUM(F543:K543)</f>
        <v>79854.19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90026.73</v>
      </c>
      <c r="G544" s="193">
        <f t="shared" ref="G544:L544" si="40">SUM(G541:G543)</f>
        <v>12919.71</v>
      </c>
      <c r="H544" s="193">
        <f t="shared" si="40"/>
        <v>88947.69</v>
      </c>
      <c r="I544" s="193">
        <f t="shared" si="40"/>
        <v>23928</v>
      </c>
      <c r="J544" s="193">
        <f t="shared" si="40"/>
        <v>0</v>
      </c>
      <c r="K544" s="193">
        <f t="shared" si="40"/>
        <v>0</v>
      </c>
      <c r="L544" s="193">
        <f t="shared" si="40"/>
        <v>215822.13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3575469.514</v>
      </c>
      <c r="G545" s="89">
        <f t="shared" ref="G545:L545" si="41">G524+G529+G534+G539+G544</f>
        <v>1909387.1799999997</v>
      </c>
      <c r="H545" s="89">
        <f t="shared" si="41"/>
        <v>1752298.0599999996</v>
      </c>
      <c r="I545" s="89">
        <f t="shared" si="41"/>
        <v>55825.649999999994</v>
      </c>
      <c r="J545" s="89">
        <f t="shared" si="41"/>
        <v>33691.82</v>
      </c>
      <c r="K545" s="89">
        <f t="shared" si="41"/>
        <v>3999.0699999999997</v>
      </c>
      <c r="L545" s="89">
        <f t="shared" si="41"/>
        <v>7330671.2939999998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2091638.5071999996</v>
      </c>
      <c r="G549" s="87">
        <f>L526</f>
        <v>403446.33399999997</v>
      </c>
      <c r="H549" s="87">
        <f>L531</f>
        <v>197832.95049999998</v>
      </c>
      <c r="I549" s="87">
        <f>L536</f>
        <v>1439.5219999999999</v>
      </c>
      <c r="J549" s="87">
        <f>L541</f>
        <v>75537.75</v>
      </c>
      <c r="K549" s="87">
        <f>SUM(F549:J549)</f>
        <v>2769895.0636999994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1704172.1304000001</v>
      </c>
      <c r="G550" s="87">
        <f>L527</f>
        <v>233723.96720000001</v>
      </c>
      <c r="H550" s="87">
        <f>L532</f>
        <v>158266.36559999999</v>
      </c>
      <c r="I550" s="87">
        <f>L537</f>
        <v>1151.6176</v>
      </c>
      <c r="J550" s="87">
        <f>L542</f>
        <v>60430.19</v>
      </c>
      <c r="K550" s="87">
        <f>SUM(F550:J550)</f>
        <v>2157744.2708000001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1879202.9993999999</v>
      </c>
      <c r="G551" s="87">
        <f>L528</f>
        <v>233315.29880000002</v>
      </c>
      <c r="H551" s="87">
        <f>L533</f>
        <v>209137.69090000002</v>
      </c>
      <c r="I551" s="87">
        <f>L538</f>
        <v>1521.7804000000001</v>
      </c>
      <c r="J551" s="87">
        <f>L543</f>
        <v>79854.19</v>
      </c>
      <c r="K551" s="87">
        <f>SUM(F551:J551)</f>
        <v>2403031.9594999999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5675013.6370000001</v>
      </c>
      <c r="G552" s="89">
        <f t="shared" si="42"/>
        <v>870485.6</v>
      </c>
      <c r="H552" s="89">
        <f t="shared" si="42"/>
        <v>565237.00699999998</v>
      </c>
      <c r="I552" s="89">
        <f t="shared" si="42"/>
        <v>4112.92</v>
      </c>
      <c r="J552" s="89">
        <f t="shared" si="42"/>
        <v>215822.13</v>
      </c>
      <c r="K552" s="89">
        <f t="shared" si="42"/>
        <v>7330671.2939999998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22000</v>
      </c>
      <c r="I575" s="87">
        <f>SUM(F575:H575)</f>
        <v>22000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>
        <f>9115.04</f>
        <v>9115.0400000000009</v>
      </c>
      <c r="H576" s="18"/>
      <c r="I576" s="87">
        <f t="shared" ref="I576:I587" si="47">SUM(F576:H576)</f>
        <v>9115.0400000000009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f>50630.84</f>
        <v>50630.84</v>
      </c>
      <c r="G580" s="18">
        <f>170246.66</f>
        <v>170246.66</v>
      </c>
      <c r="H580" s="18">
        <v>136183.07999999999</v>
      </c>
      <c r="I580" s="87">
        <f t="shared" si="47"/>
        <v>357060.57999999996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f>101244.69+28641.6</f>
        <v>129886.29000000001</v>
      </c>
      <c r="G583" s="18">
        <f>92638.38</f>
        <v>92638.38</v>
      </c>
      <c r="H583" s="18">
        <v>845314.26</v>
      </c>
      <c r="I583" s="87">
        <f t="shared" si="47"/>
        <v>1067838.93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471230.58</v>
      </c>
      <c r="I585" s="87">
        <f t="shared" si="47"/>
        <v>471230.58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175995.08</f>
        <v>175995.08</v>
      </c>
      <c r="I591" s="18">
        <f>138186.28</f>
        <v>138186.28</v>
      </c>
      <c r="J591" s="18">
        <f>184488.21</f>
        <v>184488.21</v>
      </c>
      <c r="K591" s="104">
        <f t="shared" ref="K591:K597" si="48">SUM(H591:J591)</f>
        <v>498669.56999999995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76169.94</f>
        <v>76169.94</v>
      </c>
      <c r="I592" s="18">
        <f>59806.55</f>
        <v>59806.55</v>
      </c>
      <c r="J592" s="18">
        <f>79845.73</f>
        <v>79845.73</v>
      </c>
      <c r="K592" s="104">
        <f t="shared" si="48"/>
        <v>215822.21999999997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f>12975.76+1279.73+17349</f>
        <v>31604.489999999998</v>
      </c>
      <c r="K593" s="104">
        <f t="shared" si="48"/>
        <v>31604.489999999998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3185.82</v>
      </c>
      <c r="J594" s="18">
        <f>99128.02</f>
        <v>99128.02</v>
      </c>
      <c r="K594" s="104">
        <f t="shared" si="48"/>
        <v>102313.84000000001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6487.05+470.1+5237</f>
        <v>12194.150000000001</v>
      </c>
      <c r="I595" s="18">
        <f>6673.25+492.33+10397</f>
        <v>17562.580000000002</v>
      </c>
      <c r="J595" s="18">
        <f>6214.39+448.48+5973</f>
        <v>12635.87</v>
      </c>
      <c r="K595" s="104">
        <f t="shared" si="48"/>
        <v>42392.600000000006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f>L208-SUM(H591:H595)</f>
        <v>88861.967000000004</v>
      </c>
      <c r="I597" s="18">
        <f>L226-SUM(I591:I595)</f>
        <v>70008.079999999958</v>
      </c>
      <c r="J597" s="18">
        <f>L244-SUM(J591:J595)</f>
        <v>93465.750000000058</v>
      </c>
      <c r="K597" s="104">
        <f t="shared" si="48"/>
        <v>252335.79700000002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353221.13699999999</v>
      </c>
      <c r="I598" s="108">
        <f>SUM(I591:I597)</f>
        <v>288749.31</v>
      </c>
      <c r="J598" s="108">
        <f>SUM(J591:J597)</f>
        <v>501168.07000000007</v>
      </c>
      <c r="K598" s="108">
        <f>SUM(K591:K597)</f>
        <v>1143138.517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J211+J290</f>
        <v>114639</v>
      </c>
      <c r="I604" s="18">
        <f>J229+J309</f>
        <v>78355.660000000018</v>
      </c>
      <c r="J604" s="18">
        <f>J247+J328</f>
        <v>151192.70000000001</v>
      </c>
      <c r="K604" s="104">
        <f>SUM(H604:J604)</f>
        <v>344187.36000000004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114639</v>
      </c>
      <c r="I605" s="108">
        <f>SUM(I602:I604)</f>
        <v>78355.660000000018</v>
      </c>
      <c r="J605" s="108">
        <f>SUM(J602:J604)</f>
        <v>151192.70000000001</v>
      </c>
      <c r="K605" s="108">
        <f>SUM(K602:K604)</f>
        <v>344187.36000000004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23493.65</v>
      </c>
      <c r="G611" s="18">
        <f>765+3368.05+23.87+1797.28</f>
        <v>5954.2</v>
      </c>
      <c r="H611" s="18"/>
      <c r="I611" s="18">
        <v>1925.86</v>
      </c>
      <c r="J611" s="18"/>
      <c r="K611" s="18"/>
      <c r="L611" s="88">
        <f>SUM(F611:K611)</f>
        <v>31373.710000000003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15438.64+3440</f>
        <v>18878.64</v>
      </c>
      <c r="G612" s="18">
        <f>2104.28+68.19+1181.07+262.37+539.09</f>
        <v>4155</v>
      </c>
      <c r="H612" s="18"/>
      <c r="I612" s="18"/>
      <c r="J612" s="18"/>
      <c r="K612" s="18"/>
      <c r="L612" s="88">
        <f>SUM(F612:K612)</f>
        <v>23033.64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19007.060000000001</v>
      </c>
      <c r="G613" s="18">
        <f>1453.67+1687.36+65.46</f>
        <v>3206.49</v>
      </c>
      <c r="H613" s="18"/>
      <c r="I613" s="18"/>
      <c r="J613" s="18"/>
      <c r="K613" s="18"/>
      <c r="L613" s="88">
        <f>SUM(F613:K613)</f>
        <v>22213.550000000003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61379.350000000006</v>
      </c>
      <c r="G614" s="108">
        <f t="shared" si="49"/>
        <v>13315.69</v>
      </c>
      <c r="H614" s="108">
        <f t="shared" si="49"/>
        <v>0</v>
      </c>
      <c r="I614" s="108">
        <f t="shared" si="49"/>
        <v>1925.86</v>
      </c>
      <c r="J614" s="108">
        <f t="shared" si="49"/>
        <v>0</v>
      </c>
      <c r="K614" s="108">
        <f t="shared" si="49"/>
        <v>0</v>
      </c>
      <c r="L614" s="89">
        <f t="shared" si="49"/>
        <v>76620.900000000009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2470154.5299999998</v>
      </c>
      <c r="H617" s="109">
        <f>SUM(F52)</f>
        <v>2470154.5299999998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87808.92</v>
      </c>
      <c r="H618" s="109">
        <f>SUM(G52)</f>
        <v>87808.92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292956.09999999998</v>
      </c>
      <c r="H619" s="109">
        <f>SUM(H52)</f>
        <v>292956.09999999998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3108173.2</v>
      </c>
      <c r="H621" s="109">
        <f>SUM(J52)</f>
        <v>3108173.2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2507136.25</v>
      </c>
      <c r="H622" s="109">
        <f>F476</f>
        <v>2507136.2530000061</v>
      </c>
      <c r="I622" s="121" t="s">
        <v>101</v>
      </c>
      <c r="J622" s="109">
        <f t="shared" ref="J622:J655" si="50">G622-H622</f>
        <v>-3.0000060796737671E-3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49659.65</v>
      </c>
      <c r="H623" s="109">
        <f>G476</f>
        <v>49659.650000000023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141368.10999999999</v>
      </c>
      <c r="H624" s="109">
        <f>H476</f>
        <v>141368.11399999983</v>
      </c>
      <c r="I624" s="121" t="s">
        <v>103</v>
      </c>
      <c r="J624" s="109">
        <f t="shared" si="50"/>
        <v>-3.9999998407438397E-3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3108173.2</v>
      </c>
      <c r="H626" s="109">
        <f>J476</f>
        <v>3108173.2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37633958.93</v>
      </c>
      <c r="H627" s="104">
        <f>SUM(F468)</f>
        <v>37633958.93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582396.87</v>
      </c>
      <c r="H628" s="104">
        <f>SUM(G468)</f>
        <v>582396.87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1096080.3399999999</v>
      </c>
      <c r="H629" s="104">
        <f>SUM(H468)</f>
        <v>1096080.3399999999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551369.35</v>
      </c>
      <c r="H631" s="104">
        <f>SUM(J468)</f>
        <v>551369.35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38209756.836999997</v>
      </c>
      <c r="H632" s="104">
        <f>SUM(F472)</f>
        <v>38209756.836999997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1058456.7960000001</v>
      </c>
      <c r="H633" s="104">
        <f>SUM(H472)</f>
        <v>1058456.7960000001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319066</v>
      </c>
      <c r="H634" s="104">
        <f>I369</f>
        <v>319066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558078.85</v>
      </c>
      <c r="H635" s="104">
        <f>SUM(G472)</f>
        <v>558078.85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85123.36</v>
      </c>
      <c r="H636" s="104">
        <f>SUM(I472)</f>
        <v>85123.36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551369.35</v>
      </c>
      <c r="H637" s="164">
        <f>SUM(J468)</f>
        <v>551369.35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3108173.2</v>
      </c>
      <c r="H639" s="104">
        <f>SUM(F461)</f>
        <v>3108173.2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3108173.2</v>
      </c>
      <c r="H642" s="104">
        <f>SUM(I461)</f>
        <v>3108173.2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1369.35</v>
      </c>
      <c r="H644" s="104">
        <f>H408</f>
        <v>1369.3500000000001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550000</v>
      </c>
      <c r="H645" s="104">
        <f>G408</f>
        <v>550000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551369.35</v>
      </c>
      <c r="H646" s="104">
        <f>L408</f>
        <v>551369.35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1143138.517</v>
      </c>
      <c r="H647" s="104">
        <f>L208+L226+L244</f>
        <v>1143138.517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344187.36000000004</v>
      </c>
      <c r="H648" s="104">
        <f>(J257+J338)-(J255+J336)</f>
        <v>344187.36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353221.13699999999</v>
      </c>
      <c r="H649" s="104">
        <f>H598</f>
        <v>353221.13699999999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288749.31</v>
      </c>
      <c r="H650" s="104">
        <f>I598</f>
        <v>288749.31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501168.07000000007</v>
      </c>
      <c r="H651" s="104">
        <f>J598</f>
        <v>501168.07000000007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550000</v>
      </c>
      <c r="H655" s="104">
        <f>K266+K347</f>
        <v>550000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-6.9999992847442627E-3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13402155.4005</v>
      </c>
      <c r="G660" s="19">
        <f>(L229+L309+L359)</f>
        <v>9865215.4680000003</v>
      </c>
      <c r="H660" s="19">
        <f>(L247+L328+L360)</f>
        <v>13470144.884500001</v>
      </c>
      <c r="I660" s="19">
        <f>SUM(F660:H660)</f>
        <v>36737515.753000006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112490.16100000001</v>
      </c>
      <c r="G661" s="19">
        <f>(L359/IF(SUM(L358:L360)=0,1,SUM(L358:L360))*(SUM(G97:G110)))</f>
        <v>89992.12880000002</v>
      </c>
      <c r="H661" s="19">
        <f>(L360/IF(SUM(L358:L360)=0,1,SUM(L358:L360))*(SUM(G97:G110)))</f>
        <v>118918.17020000001</v>
      </c>
      <c r="I661" s="19">
        <f>SUM(F661:H661)</f>
        <v>321400.46000000002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352532.85699999996</v>
      </c>
      <c r="G662" s="19">
        <f>(L226+L306)-(J226+J306)</f>
        <v>288208.89</v>
      </c>
      <c r="H662" s="19">
        <f>(L244+L325)-(J244+J325)</f>
        <v>500446.57000000007</v>
      </c>
      <c r="I662" s="19">
        <f>SUM(F662:H662)</f>
        <v>1141188.317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326529.84000000003</v>
      </c>
      <c r="G663" s="199">
        <f>SUM(G575:G587)+SUM(I602:I604)+L612</f>
        <v>373389.38000000006</v>
      </c>
      <c r="H663" s="199">
        <f>SUM(H575:H587)+SUM(J602:J604)+L613</f>
        <v>1648134.17</v>
      </c>
      <c r="I663" s="19">
        <f>SUM(F663:H663)</f>
        <v>2348053.39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12610602.5425</v>
      </c>
      <c r="G664" s="19">
        <f>G660-SUM(G661:G663)</f>
        <v>9113625.0691999998</v>
      </c>
      <c r="H664" s="19">
        <f>H660-SUM(H661:H663)</f>
        <v>11202645.974300001</v>
      </c>
      <c r="I664" s="19">
        <f>I660-SUM(I661:I663)</f>
        <v>32926873.586000007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581</v>
      </c>
      <c r="G665" s="248">
        <v>468.71</v>
      </c>
      <c r="H665" s="248">
        <v>603.53</v>
      </c>
      <c r="I665" s="19">
        <f>SUM(F665:H665)</f>
        <v>1653.24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21705</v>
      </c>
      <c r="G667" s="19">
        <f>ROUND(G664/G665,2)</f>
        <v>19444.060000000001</v>
      </c>
      <c r="H667" s="19">
        <f>ROUND(H664/H665,2)</f>
        <v>18561.87</v>
      </c>
      <c r="I667" s="19">
        <f>ROUND(I664/I665,2)</f>
        <v>19916.57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-16.11</v>
      </c>
      <c r="I670" s="19">
        <f>SUM(F670:H670)</f>
        <v>-16.11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21705</v>
      </c>
      <c r="G672" s="19">
        <f>ROUND((G664+G669)/(G665+G670),2)</f>
        <v>19444.060000000001</v>
      </c>
      <c r="H672" s="19">
        <f>ROUND((H664+H669)/(H665+H670),2)</f>
        <v>19070.93</v>
      </c>
      <c r="I672" s="19">
        <f>ROUND((I664+I669)/(I665+I670),2)</f>
        <v>20112.560000000001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Lebanon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10557099.98</v>
      </c>
      <c r="C9" s="229">
        <f>'DOE25'!G197+'DOE25'!G215+'DOE25'!G233+'DOE25'!G276+'DOE25'!G295+'DOE25'!G314</f>
        <v>5398980.2460000003</v>
      </c>
    </row>
    <row r="10" spans="1:3" x14ac:dyDescent="0.2">
      <c r="A10" t="s">
        <v>778</v>
      </c>
      <c r="B10" s="240">
        <f>9196169.77</f>
        <v>9196169.7699999996</v>
      </c>
      <c r="C10" s="240">
        <f>C9-C11-C12</f>
        <v>4762791.4484000001</v>
      </c>
    </row>
    <row r="11" spans="1:3" x14ac:dyDescent="0.2">
      <c r="A11" t="s">
        <v>779</v>
      </c>
      <c r="B11" s="240">
        <f>765139.28</f>
        <v>765139.28</v>
      </c>
      <c r="C11" s="240">
        <f>B11*0.52</f>
        <v>397872.42560000002</v>
      </c>
    </row>
    <row r="12" spans="1:3" x14ac:dyDescent="0.2">
      <c r="A12" t="s">
        <v>780</v>
      </c>
      <c r="B12" s="240">
        <f>B9-SUM(B10:B11)</f>
        <v>595790.93000000156</v>
      </c>
      <c r="C12" s="240">
        <f>B12*0.4</f>
        <v>238316.37200000064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10557099.98</v>
      </c>
      <c r="C13" s="231">
        <f>SUM(C10:C12)</f>
        <v>5398980.2460000003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3490142.5700000003</v>
      </c>
      <c r="C18" s="229">
        <f>'DOE25'!G198+'DOE25'!G216+'DOE25'!G234+'DOE25'!G277+'DOE25'!G296+'DOE25'!G315</f>
        <v>1910185.53</v>
      </c>
    </row>
    <row r="19" spans="1:3" x14ac:dyDescent="0.2">
      <c r="A19" t="s">
        <v>778</v>
      </c>
      <c r="B19" s="240">
        <f>1295051.68+518586.74</f>
        <v>1813638.42</v>
      </c>
      <c r="C19" s="240">
        <f>C18-C20-C21</f>
        <v>1097055.4179999998</v>
      </c>
    </row>
    <row r="20" spans="1:3" x14ac:dyDescent="0.2">
      <c r="A20" t="s">
        <v>779</v>
      </c>
      <c r="B20" s="240">
        <f>1187737.1</f>
        <v>1187737.1000000001</v>
      </c>
      <c r="C20" s="240">
        <f>B20*0.52</f>
        <v>617623.29200000002</v>
      </c>
    </row>
    <row r="21" spans="1:3" x14ac:dyDescent="0.2">
      <c r="A21" t="s">
        <v>780</v>
      </c>
      <c r="B21" s="240">
        <f>B18-SUM(B19:B20)</f>
        <v>488767.05000000028</v>
      </c>
      <c r="C21" s="240">
        <f>B21*0.4</f>
        <v>195506.82000000012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3490142.5700000003</v>
      </c>
      <c r="C22" s="231">
        <f>SUM(C19:C21)</f>
        <v>1910185.53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483638.22</v>
      </c>
      <c r="C36" s="235">
        <f>'DOE25'!G200+'DOE25'!G218+'DOE25'!G236+'DOE25'!G279+'DOE25'!G298+'DOE25'!G317</f>
        <v>94843.12</v>
      </c>
    </row>
    <row r="37" spans="1:3" x14ac:dyDescent="0.2">
      <c r="A37" t="s">
        <v>778</v>
      </c>
      <c r="B37" s="240">
        <f>98000+85697.5+215520.37</f>
        <v>399217.87</v>
      </c>
      <c r="C37" s="240">
        <v>94843.12</v>
      </c>
    </row>
    <row r="38" spans="1:3" x14ac:dyDescent="0.2">
      <c r="A38" t="s">
        <v>779</v>
      </c>
      <c r="B38" s="240">
        <v>0</v>
      </c>
      <c r="C38" s="240"/>
    </row>
    <row r="39" spans="1:3" x14ac:dyDescent="0.2">
      <c r="A39" t="s">
        <v>780</v>
      </c>
      <c r="B39" s="240">
        <f>B36-B37</f>
        <v>84420.349999999977</v>
      </c>
      <c r="C39" s="240">
        <f>C36-C37</f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483638.22</v>
      </c>
      <c r="C40" s="231">
        <f>SUM(C37:C39)</f>
        <v>94843.12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Lebanon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24123783.93</v>
      </c>
      <c r="D5" s="20">
        <f>SUM('DOE25'!L197:L200)+SUM('DOE25'!L215:L218)+SUM('DOE25'!L233:L236)-F5-G5</f>
        <v>23918624.460000001</v>
      </c>
      <c r="E5" s="243"/>
      <c r="F5" s="255">
        <f>SUM('DOE25'!J197:J200)+SUM('DOE25'!J215:J218)+SUM('DOE25'!J233:J236)</f>
        <v>121651.09</v>
      </c>
      <c r="G5" s="53">
        <f>SUM('DOE25'!K197:K200)+SUM('DOE25'!K215:K218)+SUM('DOE25'!K233:K236)</f>
        <v>83508.38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1623987.25</v>
      </c>
      <c r="D6" s="20">
        <f>'DOE25'!L202+'DOE25'!L220+'DOE25'!L238-F6-G6</f>
        <v>1619582.59</v>
      </c>
      <c r="E6" s="243"/>
      <c r="F6" s="255">
        <f>'DOE25'!J202+'DOE25'!J220+'DOE25'!J238</f>
        <v>4304.66</v>
      </c>
      <c r="G6" s="53">
        <f>'DOE25'!K202+'DOE25'!K220+'DOE25'!K238</f>
        <v>100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2082046.56</v>
      </c>
      <c r="D7" s="20">
        <f>'DOE25'!L203+'DOE25'!L221+'DOE25'!L239-F7-G7</f>
        <v>1888532.86</v>
      </c>
      <c r="E7" s="243"/>
      <c r="F7" s="255">
        <f>'DOE25'!J203+'DOE25'!J221+'DOE25'!J239</f>
        <v>193513.7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1013698.8600000002</v>
      </c>
      <c r="D8" s="243"/>
      <c r="E8" s="20">
        <f>'DOE25'!L204+'DOE25'!L222+'DOE25'!L240-F8-G8-D9-D11</f>
        <v>1004375.9800000002</v>
      </c>
      <c r="F8" s="255">
        <f>'DOE25'!J204+'DOE25'!J222+'DOE25'!J240</f>
        <v>715.89</v>
      </c>
      <c r="G8" s="53">
        <f>'DOE25'!K204+'DOE25'!K222+'DOE25'!K240</f>
        <v>8606.9900000000016</v>
      </c>
      <c r="H8" s="259"/>
    </row>
    <row r="9" spans="1:9" x14ac:dyDescent="0.2">
      <c r="A9" s="32">
        <v>2310</v>
      </c>
      <c r="B9" t="s">
        <v>817</v>
      </c>
      <c r="C9" s="245">
        <f t="shared" si="0"/>
        <v>152389.47</v>
      </c>
      <c r="D9" s="244">
        <v>152389.47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31638.5</v>
      </c>
      <c r="D10" s="243"/>
      <c r="E10" s="244">
        <v>31638.5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259640.75</v>
      </c>
      <c r="D11" s="244">
        <v>259640.75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1980128.4000000001</v>
      </c>
      <c r="D12" s="20">
        <f>'DOE25'!L205+'DOE25'!L223+'DOE25'!L241-F12-G12</f>
        <v>1958224.86</v>
      </c>
      <c r="E12" s="243"/>
      <c r="F12" s="255">
        <f>'DOE25'!J205+'DOE25'!J223+'DOE25'!J241</f>
        <v>14223.6</v>
      </c>
      <c r="G12" s="53">
        <f>'DOE25'!K205+'DOE25'!K223+'DOE25'!K241</f>
        <v>7679.9400000000005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2826228.87</v>
      </c>
      <c r="D14" s="20">
        <f>'DOE25'!L207+'DOE25'!L225+'DOE25'!L243-F14-G14</f>
        <v>2823335.24</v>
      </c>
      <c r="E14" s="243"/>
      <c r="F14" s="255">
        <f>'DOE25'!J207+'DOE25'!J225+'DOE25'!J243</f>
        <v>1553.62</v>
      </c>
      <c r="G14" s="53">
        <f>'DOE25'!K207+'DOE25'!K225+'DOE25'!K243</f>
        <v>1340.01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1143138.517</v>
      </c>
      <c r="D15" s="20">
        <f>'DOE25'!L208+'DOE25'!L226+'DOE25'!L244-F15-G15</f>
        <v>1140901.1370000001</v>
      </c>
      <c r="E15" s="243"/>
      <c r="F15" s="255">
        <f>'DOE25'!J208+'DOE25'!J226+'DOE25'!J244</f>
        <v>1950.1999999999998</v>
      </c>
      <c r="G15" s="53">
        <f>'DOE25'!K208+'DOE25'!K226+'DOE25'!K244</f>
        <v>287.18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504214.23</v>
      </c>
      <c r="D22" s="243"/>
      <c r="E22" s="243"/>
      <c r="F22" s="255">
        <f>'DOE25'!L255+'DOE25'!L336</f>
        <v>504214.23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1950500</v>
      </c>
      <c r="D25" s="243"/>
      <c r="E25" s="243"/>
      <c r="F25" s="258"/>
      <c r="G25" s="256"/>
      <c r="H25" s="257">
        <f>'DOE25'!L260+'DOE25'!L261+'DOE25'!L341+'DOE25'!L342</f>
        <v>1950500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315166.84999999998</v>
      </c>
      <c r="D29" s="20">
        <f>'DOE25'!L358+'DOE25'!L359+'DOE25'!L360-'DOE25'!I367-F29-G29</f>
        <v>315166.84999999998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1058456.7960000001</v>
      </c>
      <c r="D31" s="20">
        <f>'DOE25'!L290+'DOE25'!L309+'DOE25'!L328+'DOE25'!L333+'DOE25'!L334+'DOE25'!L335-F31-G31</f>
        <v>1044164.936</v>
      </c>
      <c r="E31" s="243"/>
      <c r="F31" s="255">
        <f>'DOE25'!J290+'DOE25'!J309+'DOE25'!J328+'DOE25'!J333+'DOE25'!J334+'DOE25'!J335</f>
        <v>6274.5999999999995</v>
      </c>
      <c r="G31" s="53">
        <f>'DOE25'!K290+'DOE25'!K309+'DOE25'!K328+'DOE25'!K333+'DOE25'!K334+'DOE25'!K335</f>
        <v>8017.26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35120563.152999997</v>
      </c>
      <c r="E33" s="246">
        <f>SUM(E5:E31)</f>
        <v>1036014.4800000002</v>
      </c>
      <c r="F33" s="246">
        <f>SUM(F5:F31)</f>
        <v>848401.59</v>
      </c>
      <c r="G33" s="246">
        <f>SUM(G5:G31)</f>
        <v>109539.76</v>
      </c>
      <c r="H33" s="246">
        <f>SUM(H5:H31)</f>
        <v>1950500</v>
      </c>
    </row>
    <row r="35" spans="2:8" ht="12" thickBot="1" x14ac:dyDescent="0.25">
      <c r="B35" s="253" t="s">
        <v>846</v>
      </c>
      <c r="D35" s="254">
        <f>E33</f>
        <v>1036014.4800000002</v>
      </c>
      <c r="E35" s="249"/>
    </row>
    <row r="36" spans="2:8" ht="12" thickTop="1" x14ac:dyDescent="0.2">
      <c r="B36" t="s">
        <v>814</v>
      </c>
      <c r="D36" s="20">
        <f>D33</f>
        <v>35120563.152999997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8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1005072.78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1398375.16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3108173.2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141368.10999999999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55547.32</v>
      </c>
      <c r="D12" s="95">
        <f>'DOE25'!G13</f>
        <v>11707.37</v>
      </c>
      <c r="E12" s="95">
        <f>'DOE25'!H13</f>
        <v>151587.99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758.89</v>
      </c>
      <c r="D13" s="95">
        <f>'DOE25'!G14</f>
        <v>60923.94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15177.61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10400.379999999999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2470154.5299999998</v>
      </c>
      <c r="D18" s="41">
        <f>SUM(D8:D17)</f>
        <v>87808.92</v>
      </c>
      <c r="E18" s="41">
        <f>SUM(E8:E17)</f>
        <v>292956.09999999998</v>
      </c>
      <c r="F18" s="41">
        <f>SUM(F8:F17)</f>
        <v>0</v>
      </c>
      <c r="G18" s="41">
        <f>SUM(G8:G17)</f>
        <v>3108173.2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-34179.769999999997</v>
      </c>
      <c r="D21" s="95">
        <f>'DOE25'!G22</f>
        <v>23959.89</v>
      </c>
      <c r="E21" s="95">
        <f>'DOE25'!H22</f>
        <v>151587.99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-2801.95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14189.38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-36981.719999999994</v>
      </c>
      <c r="D31" s="41">
        <f>SUM(D21:D30)</f>
        <v>38149.269999999997</v>
      </c>
      <c r="E31" s="41">
        <f>SUM(E21:E30)</f>
        <v>151587.99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15177.61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10400.379999999999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34482.04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737705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141368.10999999999</v>
      </c>
      <c r="F47" s="95">
        <f>'DOE25'!I48</f>
        <v>0</v>
      </c>
      <c r="G47" s="95">
        <f>'DOE25'!J48</f>
        <v>3108173.2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214610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1244420.8700000001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2507136.25</v>
      </c>
      <c r="D50" s="41">
        <f>SUM(D34:D49)</f>
        <v>49659.65</v>
      </c>
      <c r="E50" s="41">
        <f>SUM(E34:E49)</f>
        <v>141368.10999999999</v>
      </c>
      <c r="F50" s="41">
        <f>SUM(F34:F49)</f>
        <v>0</v>
      </c>
      <c r="G50" s="41">
        <f>SUM(G34:G49)</f>
        <v>3108173.2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2470154.5299999998</v>
      </c>
      <c r="D51" s="41">
        <f>D50+D31</f>
        <v>87808.92</v>
      </c>
      <c r="E51" s="41">
        <f>E50+E31</f>
        <v>292956.09999999998</v>
      </c>
      <c r="F51" s="41">
        <f>F50+F31</f>
        <v>0</v>
      </c>
      <c r="G51" s="41">
        <f>G50+G31</f>
        <v>3108173.2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25133860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4602518.5200000005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26244.55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1369.35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321400.46000000002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154368.07</v>
      </c>
      <c r="D61" s="95">
        <f>SUM('DOE25'!G98:G110)</f>
        <v>0</v>
      </c>
      <c r="E61" s="95">
        <f>SUM('DOE25'!H98:H110)</f>
        <v>145361.16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4783131.1400000006</v>
      </c>
      <c r="D62" s="130">
        <f>SUM(D57:D61)</f>
        <v>321400.46000000002</v>
      </c>
      <c r="E62" s="130">
        <f>SUM(E57:E61)</f>
        <v>145361.16</v>
      </c>
      <c r="F62" s="130">
        <f>SUM(F57:F61)</f>
        <v>0</v>
      </c>
      <c r="G62" s="130">
        <f>SUM(G57:G61)</f>
        <v>1369.35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29916991.140000001</v>
      </c>
      <c r="D63" s="22">
        <f>D56+D62</f>
        <v>321400.46000000002</v>
      </c>
      <c r="E63" s="22">
        <f>E56+E62</f>
        <v>145361.16</v>
      </c>
      <c r="F63" s="22">
        <f>F56+F62</f>
        <v>0</v>
      </c>
      <c r="G63" s="22">
        <f>G56+G62</f>
        <v>1369.35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1857637.08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4379558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1992.49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6239187.5700000003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642315.9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438367.34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208116.62000000002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7747.23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1288799.8600000001</v>
      </c>
      <c r="D78" s="130">
        <f>SUM(D72:D77)</f>
        <v>7747.23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7527987.4300000006</v>
      </c>
      <c r="D81" s="130">
        <f>SUM(D79:D80)+D78+D70</f>
        <v>7747.23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188980.36</v>
      </c>
      <c r="D88" s="95">
        <f>SUM('DOE25'!G153:G161)</f>
        <v>253249.18</v>
      </c>
      <c r="E88" s="95">
        <f>SUM('DOE25'!H153:H161)</f>
        <v>950719.17999999993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188980.36</v>
      </c>
      <c r="D91" s="131">
        <f>SUM(D85:D90)</f>
        <v>253249.18</v>
      </c>
      <c r="E91" s="131">
        <f>SUM(E85:E90)</f>
        <v>950719.17999999993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550000</v>
      </c>
    </row>
    <row r="104" spans="1:7" ht="12.75" thickTop="1" thickBot="1" x14ac:dyDescent="0.25">
      <c r="A104" s="33" t="s">
        <v>764</v>
      </c>
      <c r="C104" s="86">
        <f>C63+C81+C91+C103</f>
        <v>37633958.93</v>
      </c>
      <c r="D104" s="86">
        <f>D63+D81+D91+D103</f>
        <v>582396.87</v>
      </c>
      <c r="E104" s="86">
        <f>E63+E81+E91+E103</f>
        <v>1096080.3399999999</v>
      </c>
      <c r="F104" s="86">
        <f>F63+F81+F91+F103</f>
        <v>0</v>
      </c>
      <c r="G104" s="86">
        <f>G63+G81+G103</f>
        <v>551369.35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16217346.010000002</v>
      </c>
      <c r="D109" s="24" t="s">
        <v>288</v>
      </c>
      <c r="E109" s="95">
        <f>('DOE25'!L276)+('DOE25'!L295)+('DOE25'!L314)</f>
        <v>308001.90599999996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6619673.4399999995</v>
      </c>
      <c r="D110" s="24" t="s">
        <v>288</v>
      </c>
      <c r="E110" s="95">
        <f>('DOE25'!L277)+('DOE25'!L296)+('DOE25'!L315)</f>
        <v>494174.47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471230.58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815533.9</v>
      </c>
      <c r="D112" s="24" t="s">
        <v>288</v>
      </c>
      <c r="E112" s="95">
        <f>+('DOE25'!L279)+('DOE25'!L298)+('DOE25'!L317)</f>
        <v>42487.43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84062.500000000015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24123783.93</v>
      </c>
      <c r="D115" s="86">
        <f>SUM(D109:D114)</f>
        <v>0</v>
      </c>
      <c r="E115" s="86">
        <f>SUM(E109:E114)</f>
        <v>928726.30599999998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1623987.25</v>
      </c>
      <c r="D118" s="24" t="s">
        <v>288</v>
      </c>
      <c r="E118" s="95">
        <f>+('DOE25'!L281)+('DOE25'!L300)+('DOE25'!L319)</f>
        <v>23689.85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2082046.56</v>
      </c>
      <c r="D119" s="24" t="s">
        <v>288</v>
      </c>
      <c r="E119" s="95">
        <f>+('DOE25'!L282)+('DOE25'!L301)+('DOE25'!L320)</f>
        <v>100904.39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1425729.08</v>
      </c>
      <c r="D120" s="24" t="s">
        <v>288</v>
      </c>
      <c r="E120" s="95">
        <f>+('DOE25'!L283)+('DOE25'!L302)+('DOE25'!L321)</f>
        <v>5136.25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1980128.4000000001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2826228.87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1143138.517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558078.85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11081258.677000001</v>
      </c>
      <c r="D128" s="86">
        <f>SUM(D118:D127)</f>
        <v>558078.85</v>
      </c>
      <c r="E128" s="86">
        <f>SUM(E118:E127)</f>
        <v>129730.48999999999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504214.23</v>
      </c>
      <c r="D130" s="24" t="s">
        <v>288</v>
      </c>
      <c r="E130" s="129">
        <f>'DOE25'!L336</f>
        <v>0</v>
      </c>
      <c r="F130" s="129">
        <f>SUM('DOE25'!L374:'DOE25'!L380)</f>
        <v>85123.36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1185000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765500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299869.19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251500.16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-1369.3499999999767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3004714.23</v>
      </c>
      <c r="D144" s="141">
        <f>SUM(D130:D143)</f>
        <v>0</v>
      </c>
      <c r="E144" s="141">
        <f>SUM(E130:E143)</f>
        <v>0</v>
      </c>
      <c r="F144" s="141">
        <f>SUM(F130:F143)</f>
        <v>85123.36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38209756.836999997</v>
      </c>
      <c r="D145" s="86">
        <f>(D115+D128+D144)</f>
        <v>558078.85</v>
      </c>
      <c r="E145" s="86">
        <f>(E115+E128+E144)</f>
        <v>1058456.7960000001</v>
      </c>
      <c r="F145" s="86">
        <f>(F115+F128+F144)</f>
        <v>85123.36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1/32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23650600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3.3778000000000001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18915000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18915000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1185000</v>
      </c>
    </row>
    <row r="159" spans="1:9" x14ac:dyDescent="0.2">
      <c r="A159" s="22" t="s">
        <v>35</v>
      </c>
      <c r="B159" s="137">
        <f>'DOE25'!F498</f>
        <v>17730000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17730000</v>
      </c>
    </row>
    <row r="160" spans="1:9" x14ac:dyDescent="0.2">
      <c r="A160" s="22" t="s">
        <v>36</v>
      </c>
      <c r="B160" s="137">
        <f>'DOE25'!F499</f>
        <v>5606150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5606150</v>
      </c>
    </row>
    <row r="161" spans="1:7" x14ac:dyDescent="0.2">
      <c r="A161" s="22" t="s">
        <v>37</v>
      </c>
      <c r="B161" s="137">
        <f>'DOE25'!F500</f>
        <v>23336150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23336150</v>
      </c>
    </row>
    <row r="162" spans="1:7" x14ac:dyDescent="0.2">
      <c r="A162" s="22" t="s">
        <v>38</v>
      </c>
      <c r="B162" s="137">
        <f>'DOE25'!F501</f>
        <v>1185000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1185000</v>
      </c>
    </row>
    <row r="163" spans="1:7" x14ac:dyDescent="0.2">
      <c r="A163" s="22" t="s">
        <v>39</v>
      </c>
      <c r="B163" s="137">
        <f>'DOE25'!F502</f>
        <v>718100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718100</v>
      </c>
    </row>
    <row r="164" spans="1:7" x14ac:dyDescent="0.2">
      <c r="A164" s="22" t="s">
        <v>246</v>
      </c>
      <c r="B164" s="137">
        <f>'DOE25'!F503</f>
        <v>1903100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1903100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5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Lebanon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21705</v>
      </c>
    </row>
    <row r="5" spans="1:4" x14ac:dyDescent="0.2">
      <c r="B5" t="s">
        <v>703</v>
      </c>
      <c r="C5" s="179">
        <f>IF('DOE25'!G665+'DOE25'!G670=0,0,ROUND('DOE25'!G672,0))</f>
        <v>19444</v>
      </c>
    </row>
    <row r="6" spans="1:4" x14ac:dyDescent="0.2">
      <c r="B6" t="s">
        <v>62</v>
      </c>
      <c r="C6" s="179">
        <f>IF('DOE25'!H665+'DOE25'!H670=0,0,ROUND('DOE25'!H672,0))</f>
        <v>19071</v>
      </c>
    </row>
    <row r="7" spans="1:4" x14ac:dyDescent="0.2">
      <c r="B7" t="s">
        <v>704</v>
      </c>
      <c r="C7" s="179">
        <f>IF('DOE25'!I665+'DOE25'!I670=0,0,ROUND('DOE25'!I672,0))</f>
        <v>20113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16525348</v>
      </c>
      <c r="D10" s="182">
        <f>ROUND((C10/$C$28)*100,1)</f>
        <v>44.3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7113848</v>
      </c>
      <c r="D11" s="182">
        <f>ROUND((C11/$C$28)*100,1)</f>
        <v>19.100000000000001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471231</v>
      </c>
      <c r="D12" s="182">
        <f>ROUND((C12/$C$28)*100,1)</f>
        <v>1.3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858021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1647677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2182951</v>
      </c>
      <c r="D16" s="182">
        <f t="shared" si="0"/>
        <v>5.9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1430865</v>
      </c>
      <c r="D17" s="182">
        <f t="shared" si="0"/>
        <v>3.8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1980128</v>
      </c>
      <c r="D18" s="182">
        <f t="shared" si="0"/>
        <v>5.3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2826229</v>
      </c>
      <c r="D20" s="182">
        <f t="shared" si="0"/>
        <v>7.6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1143139</v>
      </c>
      <c r="D21" s="182">
        <f t="shared" si="0"/>
        <v>3.1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84063</v>
      </c>
      <c r="D24" s="182">
        <f t="shared" si="0"/>
        <v>0.2</v>
      </c>
    </row>
    <row r="25" spans="1:4" x14ac:dyDescent="0.2">
      <c r="A25">
        <v>5120</v>
      </c>
      <c r="B25" t="s">
        <v>719</v>
      </c>
      <c r="C25" s="179">
        <f>ROUND('DOE25'!L261+'DOE25'!L342,0)</f>
        <v>765500</v>
      </c>
      <c r="D25" s="182">
        <f t="shared" si="0"/>
        <v>2.1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236678.53999999998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37265678.539999999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589338</v>
      </c>
    </row>
    <row r="30" spans="1:4" x14ac:dyDescent="0.2">
      <c r="B30" s="187" t="s">
        <v>728</v>
      </c>
      <c r="C30" s="180">
        <f>SUM(C28:C29)</f>
        <v>37855016.539999999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1185000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25133860</v>
      </c>
      <c r="D35" s="182">
        <f t="shared" ref="D35:D40" si="1">ROUND((C35/$C$41)*100,1)</f>
        <v>64.5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4929861.6500000022</v>
      </c>
      <c r="D36" s="182">
        <f t="shared" si="1"/>
        <v>12.6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6237195</v>
      </c>
      <c r="D37" s="182">
        <f t="shared" si="1"/>
        <v>16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1298540</v>
      </c>
      <c r="D38" s="182">
        <f t="shared" si="1"/>
        <v>3.3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1392949</v>
      </c>
      <c r="D39" s="182">
        <f t="shared" si="1"/>
        <v>3.6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38992405.650000006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Lebanon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2017-09-13T18:47:12Z</cp:lastPrinted>
  <dcterms:created xsi:type="dcterms:W3CDTF">1997-12-04T19:04:30Z</dcterms:created>
  <dcterms:modified xsi:type="dcterms:W3CDTF">2017-11-29T17:32:21Z</dcterms:modified>
</cp:coreProperties>
</file>