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I22" i="1" l="1"/>
  <c r="F12" i="1"/>
  <c r="D11" i="13"/>
  <c r="C37" i="12" l="1"/>
  <c r="B37" i="12"/>
  <c r="C39" i="12"/>
  <c r="B39" i="12"/>
  <c r="B19" i="12"/>
  <c r="C19" i="12"/>
  <c r="C20" i="12"/>
  <c r="B21" i="12"/>
  <c r="C10" i="12"/>
  <c r="C11" i="12"/>
  <c r="B10" i="12"/>
  <c r="B12" i="12" l="1"/>
  <c r="H12" i="1"/>
  <c r="F9" i="1"/>
  <c r="H22" i="1"/>
  <c r="F22" i="1" l="1"/>
  <c r="H604" i="1" l="1"/>
  <c r="J604" i="1"/>
  <c r="I604" i="1"/>
  <c r="H613" i="1"/>
  <c r="H611" i="1"/>
  <c r="G611" i="1"/>
  <c r="F611" i="1"/>
  <c r="I613" i="1"/>
  <c r="G613" i="1"/>
  <c r="F613" i="1"/>
  <c r="I612" i="1"/>
  <c r="G612" i="1"/>
  <c r="F612" i="1"/>
  <c r="J595" i="1"/>
  <c r="I595" i="1"/>
  <c r="H595" i="1"/>
  <c r="I594" i="1"/>
  <c r="J592" i="1"/>
  <c r="H592" i="1"/>
  <c r="J591" i="1"/>
  <c r="I591" i="1"/>
  <c r="H591" i="1"/>
  <c r="H584" i="1"/>
  <c r="G583" i="1"/>
  <c r="G582" i="1"/>
  <c r="H234" i="1"/>
  <c r="H541" i="1"/>
  <c r="F57" i="1"/>
  <c r="I57" i="1"/>
  <c r="J96" i="1" l="1"/>
  <c r="G459" i="1"/>
  <c r="G439" i="1"/>
  <c r="H400" i="1"/>
  <c r="H399" i="1"/>
  <c r="H397" i="1"/>
  <c r="H396" i="1"/>
  <c r="J426" i="1"/>
  <c r="H422" i="1"/>
  <c r="G399" i="1"/>
  <c r="G397" i="1"/>
  <c r="G396" i="1"/>
  <c r="G40" i="1"/>
  <c r="F49" i="1"/>
  <c r="H13" i="1" l="1"/>
  <c r="H28" i="1"/>
  <c r="G240" i="1"/>
  <c r="G222" i="1"/>
  <c r="K204" i="1"/>
  <c r="G244" i="1"/>
  <c r="G208" i="1"/>
  <c r="G226" i="1"/>
  <c r="G243" i="1"/>
  <c r="G225" i="1"/>
  <c r="G207" i="1"/>
  <c r="G241" i="1"/>
  <c r="G223" i="1"/>
  <c r="G205" i="1"/>
  <c r="G204" i="1"/>
  <c r="G239" i="1"/>
  <c r="G221" i="1"/>
  <c r="G203" i="1"/>
  <c r="G202" i="1"/>
  <c r="G238" i="1"/>
  <c r="G220" i="1"/>
  <c r="G234" i="1"/>
  <c r="G216" i="1"/>
  <c r="G198" i="1"/>
  <c r="G233" i="1"/>
  <c r="G215" i="1"/>
  <c r="G197" i="1"/>
  <c r="G179" i="1"/>
  <c r="G158" i="1"/>
  <c r="G132" i="1"/>
  <c r="G97" i="1"/>
  <c r="H155" i="1"/>
  <c r="H154" i="1"/>
  <c r="H159" i="1"/>
  <c r="F160" i="1"/>
  <c r="F165" i="1"/>
  <c r="F118" i="1"/>
  <c r="F117" i="1"/>
  <c r="F126" i="1"/>
  <c r="F110" i="1"/>
  <c r="F109" i="1"/>
  <c r="F98" i="1"/>
  <c r="F96" i="1"/>
  <c r="F65" i="1"/>
  <c r="F64" i="1"/>
  <c r="J360" i="1"/>
  <c r="I360" i="1"/>
  <c r="H360" i="1"/>
  <c r="J359" i="1"/>
  <c r="I359" i="1"/>
  <c r="H359" i="1"/>
  <c r="K358" i="1"/>
  <c r="J358" i="1"/>
  <c r="I358" i="1"/>
  <c r="H358" i="1"/>
  <c r="K314" i="1"/>
  <c r="K295" i="1"/>
  <c r="J276" i="1"/>
  <c r="I276" i="1"/>
  <c r="H300" i="1"/>
  <c r="H281" i="1"/>
  <c r="H315" i="1"/>
  <c r="H296" i="1"/>
  <c r="K277" i="1"/>
  <c r="I277" i="1"/>
  <c r="H277" i="1"/>
  <c r="H282" i="1"/>
  <c r="G279" i="1"/>
  <c r="F279" i="1"/>
  <c r="G276" i="1"/>
  <c r="F276" i="1"/>
  <c r="F320" i="1"/>
  <c r="H320" i="1"/>
  <c r="H301" i="1"/>
  <c r="K243" i="1"/>
  <c r="K225" i="1"/>
  <c r="K207" i="1"/>
  <c r="H240" i="1"/>
  <c r="H222" i="1"/>
  <c r="K240" i="1"/>
  <c r="K222" i="1"/>
  <c r="H238" i="1"/>
  <c r="H220" i="1"/>
  <c r="H202" i="1"/>
  <c r="J233" i="1"/>
  <c r="I233" i="1"/>
  <c r="I215" i="1"/>
  <c r="H245" i="1"/>
  <c r="H227" i="1"/>
  <c r="H209" i="1"/>
  <c r="H244" i="1"/>
  <c r="F244" i="1"/>
  <c r="H226" i="1"/>
  <c r="F226" i="1"/>
  <c r="H208" i="1"/>
  <c r="I244" i="1"/>
  <c r="I208" i="1"/>
  <c r="F208" i="1"/>
  <c r="I226" i="1"/>
  <c r="H243" i="1"/>
  <c r="H225" i="1"/>
  <c r="H207" i="1"/>
  <c r="I243" i="1"/>
  <c r="I225" i="1"/>
  <c r="I207" i="1"/>
  <c r="J243" i="1"/>
  <c r="J225" i="1"/>
  <c r="J207" i="1"/>
  <c r="F243" i="1"/>
  <c r="F225" i="1"/>
  <c r="F207" i="1"/>
  <c r="I241" i="1"/>
  <c r="H241" i="1"/>
  <c r="I223" i="1"/>
  <c r="K241" i="1"/>
  <c r="F241" i="1"/>
  <c r="K223" i="1"/>
  <c r="H223" i="1"/>
  <c r="F223" i="1"/>
  <c r="K205" i="1"/>
  <c r="I205" i="1"/>
  <c r="H205" i="1"/>
  <c r="F205" i="1"/>
  <c r="J240" i="1"/>
  <c r="I240" i="1"/>
  <c r="F240" i="1"/>
  <c r="J222" i="1"/>
  <c r="I222" i="1"/>
  <c r="F222" i="1"/>
  <c r="J204" i="1"/>
  <c r="I204" i="1"/>
  <c r="H204" i="1"/>
  <c r="F204" i="1"/>
  <c r="H239" i="1"/>
  <c r="I239" i="1"/>
  <c r="I221" i="1"/>
  <c r="H221" i="1"/>
  <c r="I203" i="1"/>
  <c r="J239" i="1"/>
  <c r="F239" i="1"/>
  <c r="F221" i="1"/>
  <c r="F203" i="1"/>
  <c r="H203" i="1"/>
  <c r="F202" i="1"/>
  <c r="I202" i="1"/>
  <c r="J238" i="1"/>
  <c r="I238" i="1"/>
  <c r="F238" i="1"/>
  <c r="J220" i="1"/>
  <c r="I220" i="1"/>
  <c r="F220" i="1"/>
  <c r="K202" i="1"/>
  <c r="J202" i="1"/>
  <c r="I236" i="1"/>
  <c r="G236" i="1"/>
  <c r="F236" i="1"/>
  <c r="I218" i="1"/>
  <c r="G218" i="1"/>
  <c r="F218" i="1"/>
  <c r="G200" i="1"/>
  <c r="F200" i="1"/>
  <c r="K236" i="1"/>
  <c r="H236" i="1"/>
  <c r="K218" i="1"/>
  <c r="H218" i="1"/>
  <c r="H235" i="1"/>
  <c r="K198" i="1"/>
  <c r="I198" i="1"/>
  <c r="F198" i="1"/>
  <c r="I234" i="1"/>
  <c r="F234" i="1"/>
  <c r="F216" i="1"/>
  <c r="H198" i="1"/>
  <c r="I216" i="1"/>
  <c r="H216" i="1"/>
  <c r="J198" i="1"/>
  <c r="K233" i="1"/>
  <c r="H233" i="1"/>
  <c r="F233" i="1"/>
  <c r="K215" i="1"/>
  <c r="J215" i="1"/>
  <c r="H215" i="1"/>
  <c r="F215" i="1"/>
  <c r="K197" i="1"/>
  <c r="J197" i="1"/>
  <c r="I197" i="1"/>
  <c r="H197" i="1"/>
  <c r="F197" i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F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K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G641" i="1" s="1"/>
  <c r="J641" i="1" s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8" i="1" s="1"/>
  <c r="G647" i="1" s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J617" i="1" s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H639" i="1"/>
  <c r="G640" i="1"/>
  <c r="H640" i="1"/>
  <c r="H641" i="1"/>
  <c r="G642" i="1"/>
  <c r="H642" i="1"/>
  <c r="G643" i="1"/>
  <c r="H643" i="1"/>
  <c r="J643" i="1" s="1"/>
  <c r="G644" i="1"/>
  <c r="H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G164" i="2"/>
  <c r="C26" i="10"/>
  <c r="L328" i="1"/>
  <c r="L351" i="1"/>
  <c r="I662" i="1"/>
  <c r="L290" i="1"/>
  <c r="A31" i="12"/>
  <c r="C70" i="2"/>
  <c r="A40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J257" i="1"/>
  <c r="J271" i="1" s="1"/>
  <c r="H112" i="1"/>
  <c r="F112" i="1"/>
  <c r="J571" i="1"/>
  <c r="K571" i="1"/>
  <c r="L433" i="1"/>
  <c r="L419" i="1"/>
  <c r="D81" i="2"/>
  <c r="I169" i="1"/>
  <c r="H169" i="1"/>
  <c r="G552" i="1"/>
  <c r="J644" i="1"/>
  <c r="J476" i="1"/>
  <c r="H626" i="1" s="1"/>
  <c r="H476" i="1"/>
  <c r="H624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50" i="1"/>
  <c r="G22" i="2"/>
  <c r="K545" i="1"/>
  <c r="J552" i="1"/>
  <c r="H552" i="1"/>
  <c r="C29" i="10"/>
  <c r="H140" i="1"/>
  <c r="L393" i="1"/>
  <c r="A13" i="12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C16" i="13" s="1"/>
  <c r="L570" i="1"/>
  <c r="I571" i="1"/>
  <c r="J636" i="1"/>
  <c r="G36" i="2"/>
  <c r="L565" i="1"/>
  <c r="G545" i="1"/>
  <c r="H545" i="1"/>
  <c r="K551" i="1"/>
  <c r="C22" i="13"/>
  <c r="C138" i="2"/>
  <c r="J622" i="1" l="1"/>
  <c r="C81" i="2"/>
  <c r="K605" i="1"/>
  <c r="G648" i="1" s="1"/>
  <c r="L362" i="1"/>
  <c r="G661" i="1"/>
  <c r="D7" i="13"/>
  <c r="C7" i="13" s="1"/>
  <c r="J624" i="1"/>
  <c r="K500" i="1"/>
  <c r="I545" i="1"/>
  <c r="G81" i="2"/>
  <c r="C18" i="2"/>
  <c r="J649" i="1"/>
  <c r="K552" i="1"/>
  <c r="L544" i="1"/>
  <c r="L545" i="1" s="1"/>
  <c r="J645" i="1"/>
  <c r="L401" i="1"/>
  <c r="C139" i="2" s="1"/>
  <c r="H33" i="13"/>
  <c r="J647" i="1"/>
  <c r="I661" i="1"/>
  <c r="D145" i="2"/>
  <c r="C11" i="10"/>
  <c r="K338" i="1"/>
  <c r="K352" i="1" s="1"/>
  <c r="G257" i="1"/>
  <c r="G271" i="1" s="1"/>
  <c r="C20" i="10"/>
  <c r="C123" i="2"/>
  <c r="D14" i="13"/>
  <c r="C14" i="13" s="1"/>
  <c r="D12" i="13"/>
  <c r="C12" i="13" s="1"/>
  <c r="I257" i="1"/>
  <c r="I271" i="1" s="1"/>
  <c r="C18" i="10"/>
  <c r="C120" i="2"/>
  <c r="E8" i="13"/>
  <c r="C8" i="13" s="1"/>
  <c r="C17" i="10"/>
  <c r="C16" i="10"/>
  <c r="L229" i="1"/>
  <c r="G660" i="1" s="1"/>
  <c r="G664" i="1" s="1"/>
  <c r="G672" i="1" s="1"/>
  <c r="C5" i="10" s="1"/>
  <c r="L247" i="1"/>
  <c r="H660" i="1" s="1"/>
  <c r="H664" i="1" s="1"/>
  <c r="H672" i="1" s="1"/>
  <c r="C6" i="10" s="1"/>
  <c r="L211" i="1"/>
  <c r="C115" i="2"/>
  <c r="F257" i="1"/>
  <c r="F271" i="1" s="1"/>
  <c r="C10" i="10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A22" i="12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I193" i="1" l="1"/>
  <c r="G630" i="1" s="1"/>
  <c r="J630" i="1" s="1"/>
  <c r="L408" i="1"/>
  <c r="C141" i="2"/>
  <c r="C144" i="2" s="1"/>
  <c r="D31" i="13"/>
  <c r="C31" i="13" s="1"/>
  <c r="C128" i="2"/>
  <c r="C145" i="2" s="1"/>
  <c r="E33" i="13"/>
  <c r="D35" i="13" s="1"/>
  <c r="L257" i="1"/>
  <c r="L271" i="1" s="1"/>
  <c r="G632" i="1" s="1"/>
  <c r="J632" i="1" s="1"/>
  <c r="F660" i="1"/>
  <c r="F664" i="1" s="1"/>
  <c r="F667" i="1" s="1"/>
  <c r="H667" i="1"/>
  <c r="C28" i="10"/>
  <c r="D23" i="10" s="1"/>
  <c r="G667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D33" i="13"/>
  <c r="D36" i="13" s="1"/>
  <c r="I660" i="1"/>
  <c r="I664" i="1" s="1"/>
  <c r="I672" i="1" s="1"/>
  <c r="C7" i="10" s="1"/>
  <c r="F672" i="1"/>
  <c r="C4" i="10" s="1"/>
  <c r="D26" i="10"/>
  <c r="D13" i="10"/>
  <c r="D20" i="10"/>
  <c r="D10" i="10"/>
  <c r="D11" i="10"/>
  <c r="C30" i="10"/>
  <c r="D27" i="10"/>
  <c r="D18" i="10"/>
  <c r="D25" i="10"/>
  <c r="D15" i="10"/>
  <c r="D12" i="10"/>
  <c r="D17" i="10"/>
  <c r="D19" i="10"/>
  <c r="D22" i="10"/>
  <c r="D21" i="10"/>
  <c r="D24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<sst xmlns="http://schemas.openxmlformats.org/spreadsheetml/2006/main" count="3956" uniqueCount="914">
  <si>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</si>
  <si>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</si>
  <si>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</si>
  <si>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</si>
  <si>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</si>
  <si>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</si>
  <si>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</si>
  <si>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</si>
  <si>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</si>
  <si>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</si>
  <si>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</si>
  <si>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</si>
  <si>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</si>
  <si>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</si>
  <si>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</si>
  <si>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</si>
  <si>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</si>
  <si>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</si>
  <si>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</si>
  <si>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</si>
  <si>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</si>
  <si>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</si>
  <si>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</si>
  <si>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</si>
  <si>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</si>
  <si>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</si>
  <si>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</si>
  <si>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</si>
  <si>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</si>
  <si>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</si>
  <si>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</si>
  <si>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</si>
  <si>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</si>
  <si>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</si>
  <si>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</si>
  <si>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</si>
  <si>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</si>
  <si>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</si>
  <si>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</si>
  <si>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</si>
  <si>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</si>
  <si>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</si>
  <si>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</si>
  <si>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</si>
  <si>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</si>
  <si>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</si>
  <si>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</si>
  <si>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</si>
  <si>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</si>
  <si>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</si>
  <si>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</si>
  <si>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</si>
  <si>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</si>
  <si>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</si>
  <si>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</si>
  <si>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</si>
  <si>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</si>
  <si>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</si>
  <si>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</si>
  <si>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</si>
  <si>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</si>
  <si>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</si>
  <si>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</si>
  <si>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</si>
  <si>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</si>
  <si>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</si>
  <si>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</si>
  <si>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</si>
  <si>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</si>
  <si>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</si>
  <si>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</si>
  <si>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</si>
  <si>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</si>
  <si>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</si>
  <si>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</si>
  <si>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</si>
  <si>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</si>
  <si>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</si>
  <si>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</si>
  <si>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</si>
  <si>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</si>
  <si>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</si>
  <si>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</si>
  <si>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</si>
  <si>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</si>
  <si>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</si>
  <si>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</si>
  <si>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</si>
  <si>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</si>
  <si>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</si>
  <si>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</si>
  <si>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</si>
  <si>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</si>
  <si>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</si>
  <si>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</si>
  <si>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</si>
  <si>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</si>
  <si>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</si>
  <si>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</si>
  <si>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</si>
  <si>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</si>
  <si>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</si>
  <si>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</si>
  <si>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</si>
  <si>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</si>
  <si>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</si>
  <si>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</si>
  <si>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</si>
  <si>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</si>
  <si>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</si>
  <si>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</si>
  <si>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</si>
  <si>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</si>
  <si>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</si>
  <si>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</si>
  <si>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</si>
  <si>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</si>
  <si>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</si>
  <si>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</si>
  <si>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</si>
  <si>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</si>
  <si>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</si>
  <si>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</si>
  <si>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</si>
  <si>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</si>
  <si>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</si>
  <si>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</si>
  <si>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</si>
  <si>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</si>
  <si>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</si>
  <si>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</si>
  <si>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</si>
  <si>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</si>
  <si>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</si>
  <si>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</si>
  <si>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</si>
  <si>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</si>
  <si>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</si>
  <si>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</si>
  <si>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</si>
  <si>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</si>
  <si>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</si>
  <si>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</si>
  <si>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</si>
  <si>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</si>
  <si>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</si>
  <si>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</si>
  <si>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</si>
  <si>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</si>
  <si>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</si>
  <si>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</si>
  <si>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</si>
  <si>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</si>
  <si>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</si>
  <si>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</si>
  <si>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</si>
  <si>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</si>
  <si>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</si>
  <si>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</si>
  <si>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</si>
  <si>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</si>
  <si>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</si>
  <si>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</si>
  <si>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</si>
  <si>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</si>
  <si>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</si>
  <si>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</si>
  <si>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</si>
  <si>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</si>
  <si>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</si>
  <si>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</si>
  <si>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</si>
  <si>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</si>
  <si>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</si>
  <si>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</si>
  <si>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</si>
  <si>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</si>
  <si>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</si>
  <si>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</si>
  <si>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</si>
  <si>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</si>
  <si>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</si>
  <si>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</si>
  <si>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</si>
  <si>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</si>
  <si>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</si>
  <si>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</si>
  <si>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</si>
  <si>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</si>
  <si>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</si>
  <si>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</si>
  <si>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</si>
  <si>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</si>
  <si>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</si>
  <si>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</si>
  <si>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</si>
  <si>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</si>
  <si>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</si>
  <si>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</si>
  <si>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</si>
  <si>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</si>
  <si>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</si>
  <si>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</si>
  <si>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</si>
  <si>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</si>
  <si>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</si>
  <si>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</si>
  <si>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</si>
  <si>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</si>
  <si>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</si>
  <si>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</si>
  <si>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</si>
  <si>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</si>
  <si>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</si>
  <si>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</si>
  <si>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</si>
  <si>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</si>
  <si>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</si>
  <si>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</si>
  <si>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</si>
  <si>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</si>
  <si>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</si>
  <si>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</si>
  <si>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</si>
  <si>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</si>
  <si>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</si>
  <si>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</si>
  <si>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</si>
  <si>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</si>
  <si>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</si>
  <si>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</si>
  <si>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</si>
  <si>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</si>
  <si>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</si>
  <si>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</si>
  <si>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</si>
  <si>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</si>
  <si>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</si>
  <si>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</si>
  <si>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</si>
  <si>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</si>
  <si>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</si>
  <si>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</si>
  <si>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</si>
  <si>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</si>
  <si>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</si>
  <si>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</si>
  <si>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</si>
  <si>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</si>
  <si>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</si>
  <si>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</si>
  <si>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</si>
  <si>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</si>
  <si>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</si>
  <si>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</si>
  <si>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</si>
  <si>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</si>
  <si>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</si>
  <si>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</si>
  <si>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</si>
  <si>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</si>
  <si>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</si>
  <si>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</si>
  <si>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</si>
  <si>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</si>
  <si>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</si>
  <si>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</si>
  <si>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</si>
  <si>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</si>
  <si>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</si>
  <si>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</si>
  <si>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</si>
  <si>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</si>
  <si>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</si>
  <si>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</si>
  <si>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</si>
  <si>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</si>
  <si>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</si>
  <si>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</si>
  <si>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</si>
  <si>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</si>
  <si>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</si>
  <si>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</si>
  <si>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</si>
  <si>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</si>
  <si>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</si>
  <si>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</si>
  <si>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</si>
  <si>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</si>
  <si>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</si>
  <si>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</si>
  <si>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</si>
  <si>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</si>
  <si>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</si>
  <si>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</si>
  <si>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</si>
  <si>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</si>
  <si>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</si>
  <si>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</si>
  <si>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</si>
  <si>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</si>
  <si>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</si>
  <si>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</si>
  <si>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</si>
  <si>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</si>
  <si>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</si>
  <si>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</si>
  <si>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</si>
  <si>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</si>
  <si>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</si>
  <si>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</si>
  <si>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</si>
  <si>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</si>
  <si>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</si>
  <si>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</si>
  <si>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</si>
  <si>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</si>
  <si>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</si>
  <si>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</si>
  <si>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</si>
  <si>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</si>
  <si>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</si>
  <si>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</si>
  <si>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</si>
  <si>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</si>
  <si>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</si>
  <si>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</si>
  <si>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</si>
  <si>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</si>
  <si>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</si>
  <si>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</si>
  <si>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</si>
  <si>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</si>
  <si>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</si>
  <si>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</si>
  <si>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</si>
  <si>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</si>
  <si>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</si>
  <si>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</si>
  <si>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</si>
  <si>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</si>
  <si>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</si>
  <si>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</si>
  <si>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</si>
  <si>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</si>
  <si>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</si>
  <si>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</si>
  <si>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</si>
  <si>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</si>
  <si>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</si>
  <si>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</si>
  <si>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</si>
  <si>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</si>
  <si>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</si>
  <si>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</si>
  <si>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</si>
  <si>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</si>
  <si>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</si>
  <si>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</si>
  <si>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</si>
  <si>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</si>
  <si>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</si>
  <si>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</si>
  <si>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</si>
  <si>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</si>
  <si>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</si>
  <si>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</si>
  <si>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</si>
  <si>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</si>
  <si>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</si>
  <si>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</si>
  <si>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</si>
  <si>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</si>
  <si>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</si>
  <si>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</si>
  <si>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</si>
  <si>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</si>
  <si>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</si>
  <si>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</si>
  <si>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</si>
  <si>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</si>
  <si>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</si>
  <si>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</si>
  <si>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</si>
  <si>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</si>
  <si>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</si>
  <si>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</si>
  <si>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</si>
  <si>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</si>
  <si>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</si>
  <si>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</si>
  <si>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</si>
  <si>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</si>
  <si>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</si>
  <si>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</si>
  <si>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</si>
  <si>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</si>
  <si>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</si>
  <si>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</si>
  <si>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</si>
  <si>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</si>
  <si>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</si>
  <si>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</si>
  <si>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</si>
  <si>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</si>
  <si>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</si>
  <si>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</si>
  <si>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</si>
  <si>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</si>
  <si>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</si>
  <si>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</si>
  <si>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</si>
  <si>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</si>
  <si>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</si>
  <si>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</si>
  <si>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</si>
  <si>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</si>
  <si>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</si>
  <si>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</si>
  <si>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</si>
  <si>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</si>
  <si>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</si>
  <si>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</si>
  <si>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</si>
  <si>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</si>
  <si>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</si>
  <si>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</si>
  <si>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</si>
  <si>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</si>
  <si>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</si>
  <si>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</si>
  <si>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</si>
  <si>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</si>
  <si>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</si>
  <si>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</si>
  <si>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</si>
  <si>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</si>
  <si>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</si>
  <si>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</si>
  <si>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</si>
  <si>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</si>
  <si>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</si>
  <si>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</si>
  <si>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</si>
  <si>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</si>
  <si>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</si>
  <si>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</si>
  <si>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</si>
  <si>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</si>
  <si>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</si>
  <si>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</si>
  <si>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</si>
  <si>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</si>
  <si>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</si>
  <si>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</si>
  <si>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</si>
  <si>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</si>
  <si>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</si>
  <si>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</si>
  <si>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</si>
  <si>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</si>
  <si>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</si>
  <si>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</si>
  <si>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</si>
  <si>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</si>
  <si>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</si>
  <si>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</si>
  <si>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</si>
  <si>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</si>
  <si>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</si>
  <si>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</si>
  <si>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</si>
  <si>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</si>
  <si>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</si>
  <si>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</si>
  <si>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</si>
  <si>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</si>
  <si>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</si>
  <si>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</si>
  <si>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</si>
  <si>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</si>
  <si>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</si>
  <si>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</si>
  <si>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</si>
  <si>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</si>
  <si>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</si>
  <si>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</si>
  <si>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</si>
  <si>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</si>
  <si>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</si>
  <si>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</si>
  <si>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</si>
  <si>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</si>
  <si>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</si>
  <si>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</si>
  <si>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</si>
  <si>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</si>
  <si>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</si>
  <si>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</si>
  <si>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</si>
  <si>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</si>
  <si>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</si>
  <si>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</si>
  <si>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</si>
  <si>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</si>
  <si>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</si>
  <si>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</si>
  <si>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</si>
  <si>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</si>
  <si>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</si>
  <si>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</si>
  <si>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</si>
  <si>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</si>
  <si>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</si>
  <si>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</si>
  <si>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</si>
  <si>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</si>
  <si>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</si>
  <si>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</si>
  <si>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</si>
  <si>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</si>
  <si>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</si>
  <si>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</si>
  <si>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</si>
  <si>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</si>
  <si>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</si>
  <si>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</si>
  <si>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</si>
  <si>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</si>
  <si>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</si>
  <si>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</si>
  <si>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</si>
  <si>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</si>
  <si>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</si>
  <si>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</si>
  <si>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</si>
  <si>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</si>
  <si>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</si>
  <si>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</si>
  <si>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</si>
  <si>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</si>
  <si>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</si>
  <si>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</si>
  <si>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</si>
  <si>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</si>
  <si>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</si>
  <si>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</si>
  <si>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</si>
  <si>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</si>
  <si>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</si>
  <si>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</si>
  <si>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</si>
  <si>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</si>
  <si>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</si>
  <si>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</si>
  <si>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</si>
  <si>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</si>
  <si>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</si>
  <si>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</si>
  <si>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</si>
  <si>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</si>
  <si>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</si>
  <si>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</si>
  <si>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</si>
  <si>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</si>
  <si>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</si>
  <si>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</si>
  <si>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</si>
  <si>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</si>
  <si>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</si>
  <si>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</si>
  <si>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</si>
  <si>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</si>
  <si>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</si>
  <si>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</si>
  <si>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</si>
  <si>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</si>
  <si>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</si>
  <si>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</si>
  <si>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</si>
  <si>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</si>
  <si>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</si>
  <si>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</si>
  <si>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</si>
  <si>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</si>
  <si>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</si>
  <si>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</si>
  <si>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</si>
  <si>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</si>
  <si>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</si>
  <si>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</si>
  <si>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</si>
  <si>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</si>
  <si>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</si>
  <si>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</si>
  <si>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</si>
  <si>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</si>
  <si>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</si>
  <si>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</si>
  <si>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</si>
  <si>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</si>
  <si>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</si>
  <si>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</si>
  <si>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</si>
  <si>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</si>
  <si>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</si>
  <si>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</si>
  <si>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</si>
  <si>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</si>
  <si>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</si>
  <si>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</si>
  <si>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</si>
  <si>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</si>
  <si>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</si>
  <si>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</si>
  <si>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</si>
  <si>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</si>
  <si>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</si>
  <si>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</si>
  <si>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</si>
  <si>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</si>
  <si>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</si>
  <si>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</si>
  <si>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</si>
  <si>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</si>
  <si>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</si>
  <si>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</si>
  <si>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</si>
  <si>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</si>
  <si>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</si>
  <si>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</si>
  <si>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</si>
  <si>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</si>
  <si>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</si>
  <si>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</si>
  <si>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</si>
  <si>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</si>
  <si>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</si>
  <si>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</si>
  <si>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</si>
  <si>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</si>
  <si>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</si>
  <si>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</si>
  <si>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</si>
  <si>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</si>
  <si>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</si>
  <si>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</si>
  <si>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</si>
  <si>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</si>
  <si>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</si>
  <si>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</si>
  <si>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</si>
  <si>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</si>
  <si>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</si>
  <si>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</si>
  <si>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</si>
  <si>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</si>
  <si>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</si>
  <si>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</si>
  <si>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</si>
  <si>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</si>
  <si>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</si>
  <si>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</si>
  <si>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</si>
  <si>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</si>
  <si>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</si>
  <si>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</si>
  <si>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</si>
  <si>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</si>
  <si>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</si>
  <si>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</si>
  <si>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</si>
  <si>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</si>
  <si>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</si>
  <si>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</si>
  <si>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</si>
  <si>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</si>
  <si>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</si>
  <si>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</si>
  <si>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</si>
  <si>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</si>
  <si>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</si>
  <si>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</si>
  <si>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</si>
  <si>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</si>
  <si>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</si>
  <si>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</si>
  <si>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</si>
  <si>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</si>
  <si>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</si>
  <si>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</si>
  <si>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</si>
  <si>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</si>
  <si>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</si>
  <si>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</si>
  <si>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</si>
  <si>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</si>
  <si>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</si>
  <si>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</si>
  <si>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</si>
  <si>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</si>
  <si>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</si>
  <si>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</si>
  <si>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</si>
  <si>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</si>
  <si>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</si>
  <si>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</si>
  <si>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</si>
  <si>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</si>
  <si>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</si>
  <si>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</si>
  <si>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</si>
  <si>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</si>
  <si>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</si>
  <si>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</si>
  <si>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</si>
  <si>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</si>
  <si>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</si>
  <si>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</si>
  <si>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</si>
  <si>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</si>
  <si>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</si>
  <si>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</si>
  <si>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</si>
  <si>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</si>
  <si>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</si>
  <si>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</si>
  <si>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</si>
  <si>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</si>
  <si>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</si>
  <si>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</si>
  <si>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</si>
  <si>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</si>
  <si>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</si>
  <si>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</si>
  <si>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</si>
  <si>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</si>
  <si>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</si>
  <si>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</si>
  <si>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</si>
  <si>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</si>
  <si>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</si>
  <si>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</si>
  <si>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</si>
  <si>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</si>
  <si>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</si>
  <si>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</si>
  <si>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</si>
  <si>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</si>
  <si>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</si>
  <si>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</si>
  <si>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</si>
  <si>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</si>
  <si>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</si>
  <si>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</si>
  <si>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</si>
  <si>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</si>
  <si>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</si>
  <si>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</si>
  <si>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</si>
  <si>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</si>
  <si>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</si>
  <si>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</si>
  <si>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</si>
  <si>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</si>
  <si>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</si>
  <si>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</si>
  <si>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</si>
  <si>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</si>
  <si>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</si>
  <si>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</si>
  <si>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</si>
  <si>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</si>
  <si>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</si>
  <si>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</si>
  <si>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</si>
  <si>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</si>
  <si>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</si>
  <si>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</si>
  <si>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</si>
  <si>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</si>
  <si>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</si>
  <si>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</si>
  <si>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</si>
  <si>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</si>
  <si>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</si>
  <si>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</si>
  <si>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</si>
  <si>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</si>
  <si>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</si>
  <si>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</si>
  <si>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</si>
  <si>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</si>
  <si>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</si>
  <si>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</si>
  <si>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</si>
  <si>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</si>
  <si>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</si>
  <si>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</si>
  <si>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</si>
  <si>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</si>
  <si>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</si>
  <si>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</si>
  <si>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</si>
  <si>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</si>
  <si>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</si>
  <si>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</si>
  <si>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</si>
  <si>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</si>
  <si>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</si>
  <si>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</si>
  <si>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</si>
  <si>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</si>
  <si>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</si>
  <si>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</si>
  <si>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</si>
  <si>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</si>
  <si>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</si>
  <si>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</si>
  <si>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</si>
  <si>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</si>
  <si>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</si>
  <si>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</si>
  <si>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</si>
  <si>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</si>
  <si>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</si>
  <si>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</si>
  <si>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</si>
  <si>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</si>
  <si>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</si>
  <si>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</si>
  <si>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</si>
  <si>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</si>
  <si>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</si>
  <si>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</si>
  <si>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</si>
  <si>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</si>
  <si>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</si>
  <si>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</si>
  <si>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</si>
  <si>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</si>
  <si>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</si>
  <si>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</si>
  <si>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</si>
  <si>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</si>
  <si>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</si>
  <si>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</si>
  <si>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</si>
  <si>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</si>
  <si>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</si>
  <si>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</si>
  <si>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</si>
  <si>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</si>
  <si>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</si>
  <si>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</si>
  <si>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</si>
  <si>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</si>
  <si>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</si>
  <si>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</si>
  <si>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</si>
  <si>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</si>
  <si>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</si>
  <si>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</si>
  <si>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</si>
  <si>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</si>
  <si>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</si>
  <si>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</si>
  <si>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</si>
  <si>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</si>
  <si>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</si>
  <si>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</si>
  <si>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</si>
  <si>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</si>
  <si>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</si>
  <si>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</si>
  <si>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</si>
  <si>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</si>
  <si>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</si>
  <si>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</si>
  <si>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</si>
  <si>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</si>
  <si>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</si>
  <si>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</si>
  <si>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</si>
  <si>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</si>
  <si>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</si>
  <si>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</si>
  <si>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</si>
  <si>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</si>
  <si>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</si>
  <si>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</si>
  <si>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</si>
  <si>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</si>
  <si>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</si>
  <si>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</si>
  <si>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</si>
  <si>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</si>
  <si>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</si>
  <si>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</si>
  <si>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</si>
  <si>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</si>
  <si>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</si>
  <si>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</si>
  <si>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</si>
  <si>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</si>
  <si>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</si>
  <si>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</si>
  <si>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</si>
  <si>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</si>
  <si>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</si>
  <si>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</si>
  <si>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</si>
  <si>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Lincoln-Woodstock Cooperative School District</t>
  </si>
  <si>
    <t>Fresh Fruits and Vegetables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</si>
</sst>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305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698795.63+4015.8</f>
        <v>702811.43</v>
      </c>
      <c r="G9" s="18"/>
      <c r="H9" s="18"/>
      <c r="I9" s="18"/>
      <c r="J9" s="67">
        <f>SUM(I439)</f>
        <v>382367.85000000003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894758.28-251000-5080.93-13344.65-38821.26-114001.65-64195.83</f>
        <v>408313.9599999999</v>
      </c>
      <c r="G12" s="18">
        <v>611.87</v>
      </c>
      <c r="H12" s="18">
        <f>2511.44+7340+13313.9+1733.04+5080.93</f>
        <v>29979.31</v>
      </c>
      <c r="I12" s="18">
        <v>251000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3692</v>
      </c>
      <c r="H13" s="18">
        <f>450+67169.35+7421.64+7290</f>
        <v>82330.990000000005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4968.2700000000004</v>
      </c>
      <c r="G14" s="18">
        <v>4739.8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1116093.6599999999</v>
      </c>
      <c r="G19" s="41">
        <f>SUM(G9:G18)</f>
        <v>9043.67</v>
      </c>
      <c r="H19" s="41">
        <f>SUM(H9:H18)</f>
        <v>112310.3</v>
      </c>
      <c r="I19" s="41">
        <f>SUM(I9:I18)</f>
        <v>251000</v>
      </c>
      <c r="J19" s="41">
        <f>SUM(J9:J18)</f>
        <v>382367.85000000003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f>57568.89+449560.54</f>
        <v>507129.43</v>
      </c>
      <c r="G22" s="18"/>
      <c r="H22" s="18">
        <f>1654.1+55736.37+932.17+8125.35+603.63+7340+13313.9+7290+676+1608.33</f>
        <v>97279.85</v>
      </c>
      <c r="I22" s="18">
        <f>431469.23-206771.85</f>
        <v>224697.37999999998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11446.45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264365.90999999997</v>
      </c>
      <c r="G28" s="18"/>
      <c r="H28" s="18">
        <f>8892.48</f>
        <v>8892.48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2150</v>
      </c>
      <c r="G30" s="18"/>
      <c r="H30" s="18">
        <v>1057.04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785091.79</v>
      </c>
      <c r="G32" s="41">
        <f>SUM(G22:G31)</f>
        <v>0</v>
      </c>
      <c r="H32" s="41">
        <f>SUM(H22:H31)</f>
        <v>107229.37</v>
      </c>
      <c r="I32" s="41">
        <f>SUM(I22:I31)</f>
        <v>224697.37999999998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f>5483.33+2962.78</f>
        <v>8446.11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100000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>
        <v>22889.42</v>
      </c>
      <c r="J48" s="13">
        <f>SUM(I459)</f>
        <v>382367.85000000003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f>54182.67</f>
        <v>54182.67</v>
      </c>
      <c r="G49" s="18">
        <v>597.55999999999995</v>
      </c>
      <c r="H49" s="18">
        <v>5080.93</v>
      </c>
      <c r="I49" s="18">
        <v>3413.2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176819.2-100000</f>
        <v>76819.200000000012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331001.87</v>
      </c>
      <c r="G51" s="41">
        <f>SUM(G35:G50)</f>
        <v>9043.67</v>
      </c>
      <c r="H51" s="41">
        <f>SUM(H35:H50)</f>
        <v>5080.93</v>
      </c>
      <c r="I51" s="41">
        <f>SUM(I35:I50)</f>
        <v>26302.62</v>
      </c>
      <c r="J51" s="41">
        <f>SUM(J35:J50)</f>
        <v>382367.85000000003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1116093.6600000001</v>
      </c>
      <c r="G52" s="41">
        <f>G51+G32</f>
        <v>9043.67</v>
      </c>
      <c r="H52" s="41">
        <f>H51+H32</f>
        <v>112310.29999999999</v>
      </c>
      <c r="I52" s="41">
        <f>I51+I32</f>
        <v>250999.99999999997</v>
      </c>
      <c r="J52" s="41">
        <f>J51+J32</f>
        <v>382367.85000000003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4030987-251000</f>
        <v>3779987</v>
      </c>
      <c r="G57" s="18"/>
      <c r="H57" s="18"/>
      <c r="I57" s="18">
        <f>58000+53000+140000</f>
        <v>251000</v>
      </c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3779987</v>
      </c>
      <c r="G60" s="41">
        <f>SUM(G57:G59)</f>
        <v>0</v>
      </c>
      <c r="H60" s="41">
        <f>SUM(H57:H59)</f>
        <v>0</v>
      </c>
      <c r="I60" s="41">
        <f>SUM(I57:I59)</f>
        <v>251000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f>295</f>
        <v>295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f>14080</f>
        <v>14080</v>
      </c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14375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f>4.27</f>
        <v>4.2699999999999996</v>
      </c>
      <c r="G96" s="18"/>
      <c r="H96" s="18"/>
      <c r="I96" s="18"/>
      <c r="J96" s="18">
        <f>1094.36+18.4</f>
        <v>1112.76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5998.62+30589+2954.57+8807.3+9149.31</f>
        <v>57498.8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f>1503.5</f>
        <v>1503.5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3180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f>220.84</f>
        <v>220.84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1193.67</f>
        <v>1193.67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6102.2800000000007</v>
      </c>
      <c r="G111" s="41">
        <f>SUM(G96:G110)</f>
        <v>57498.8</v>
      </c>
      <c r="H111" s="41">
        <f>SUM(H96:H110)</f>
        <v>0</v>
      </c>
      <c r="I111" s="41">
        <f>SUM(I96:I110)</f>
        <v>0</v>
      </c>
      <c r="J111" s="41">
        <f>SUM(J96:J110)</f>
        <v>1112.76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3800464.28</v>
      </c>
      <c r="G112" s="41">
        <f>G60+G111</f>
        <v>57498.8</v>
      </c>
      <c r="H112" s="41">
        <f>H60+H79+H94+H111</f>
        <v>0</v>
      </c>
      <c r="I112" s="41">
        <f>I60+I111</f>
        <v>251000</v>
      </c>
      <c r="J112" s="41">
        <f>J60+J111</f>
        <v>1112.76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f>339470.61</f>
        <v>339470.61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f>2444868</f>
        <v>2444868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1015.41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2785354.02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f>48709.86</f>
        <v>48709.86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16278.4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1751.4</f>
        <v>1751.4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64988.26</v>
      </c>
      <c r="G136" s="41">
        <f>SUM(G123:G135)</f>
        <v>1751.4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2850342.28</v>
      </c>
      <c r="G140" s="41">
        <f>G121+SUM(G136:G137)</f>
        <v>1751.4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>
        <v>6981.96</v>
      </c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6981.96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154444.12+25000</f>
        <v>179444.12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8950+12586.5</f>
        <v>21536.5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3848.42+9117.84+68057+6337.21</f>
        <v>87360.47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75641.7+969.64</f>
        <v>76611.34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f>43524.1</f>
        <v>43524.1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43524.1</v>
      </c>
      <c r="G162" s="41">
        <f>SUM(G150:G161)</f>
        <v>87360.47</v>
      </c>
      <c r="H162" s="41">
        <f>SUM(H150:H161)</f>
        <v>277591.95999999996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f>49413.4</f>
        <v>49413.4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92937.5</v>
      </c>
      <c r="G169" s="41">
        <f>G147+G162+SUM(G163:G168)</f>
        <v>87360.47</v>
      </c>
      <c r="H169" s="41">
        <f>H147+H162+SUM(H163:H168)</f>
        <v>284573.92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f>8723.77</f>
        <v>8723.77</v>
      </c>
      <c r="H179" s="18"/>
      <c r="I179" s="18"/>
      <c r="J179" s="18">
        <v>100000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8723.77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8723.77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6743744.0599999996</v>
      </c>
      <c r="G193" s="47">
        <f>G112+G140+G169+G192</f>
        <v>155334.44</v>
      </c>
      <c r="H193" s="47">
        <f>H112+H140+H169+H192</f>
        <v>284573.92</v>
      </c>
      <c r="I193" s="47">
        <f>I112+I140+I169+I192</f>
        <v>251000</v>
      </c>
      <c r="J193" s="47">
        <f>J112+J140+J192</f>
        <v>101112.76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810923.46+53634.88</f>
        <v>864558.34</v>
      </c>
      <c r="G197" s="18">
        <f>264557.87+6352.28+957.72+279.61+60371.45+3534.39+124161.64+1050.94+3582.78</f>
        <v>464848.68000000005</v>
      </c>
      <c r="H197" s="18">
        <f>13826.3+4795.49+6510.57+384.3</f>
        <v>25516.66</v>
      </c>
      <c r="I197" s="18">
        <f>11570.99+28353.64+5440.8+1080.94+826.49</f>
        <v>47272.86</v>
      </c>
      <c r="J197" s="18">
        <f>124.4+1894.06+4487.12+4124</f>
        <v>10629.58</v>
      </c>
      <c r="K197" s="18">
        <f>2136.6</f>
        <v>2136.6</v>
      </c>
      <c r="L197" s="19">
        <f>SUM(F197:K197)</f>
        <v>1414962.7200000002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198637.02+9201.56+1845+2000</f>
        <v>211683.58</v>
      </c>
      <c r="G198" s="18">
        <f>58138.04+1546.16+186.96+14502.71+8518.21+19176.33+257.43+877.61+135.52+80.41+176.29+2.39+8.15+131.34+100.53+172.37</f>
        <v>104010.44999999997</v>
      </c>
      <c r="H198" s="18">
        <f>931.4+1713.9+630.5+30.65+3094+34.56+1857</f>
        <v>8292.010000000002</v>
      </c>
      <c r="I198" s="18">
        <f>434.55+296.43+1721.13</f>
        <v>2452.11</v>
      </c>
      <c r="J198" s="18">
        <f>517</f>
        <v>517</v>
      </c>
      <c r="K198" s="18">
        <f>449.98</f>
        <v>449.98</v>
      </c>
      <c r="L198" s="19">
        <f>SUM(F198:K198)</f>
        <v>327405.12999999995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664+4735.75</f>
        <v>5399.75</v>
      </c>
      <c r="G200" s="18">
        <f>47.03+104.05+354.15+267.89+319.29</f>
        <v>1092.4099999999999</v>
      </c>
      <c r="H200" s="18"/>
      <c r="I200" s="18"/>
      <c r="J200" s="18"/>
      <c r="K200" s="18"/>
      <c r="L200" s="19">
        <f>SUM(F200:K200)</f>
        <v>6492.16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50534+15587.58+18152.96+750</f>
        <v>85024.540000000008</v>
      </c>
      <c r="G202" s="18">
        <f>21138.08+390.18+71.76+3608.67+7918.77+65.49+223.27+9300.87+171.78+60+983.19+2413.09+20.2+68.87+12674.68+315.86+17.94+1112.97+2027.69+23.53+80.2+57.38+83.78</f>
        <v>62828.250000000007</v>
      </c>
      <c r="H202" s="18">
        <f>335.95+154.71+1800+38650.07+48438.54+1008.2+46744.38+1225.7+4300</f>
        <v>142657.54999999999</v>
      </c>
      <c r="I202" s="18">
        <f>127.09+192.34+320.33+55.1+132.99+403.86</f>
        <v>1231.71</v>
      </c>
      <c r="J202" s="18">
        <f>701.8</f>
        <v>701.8</v>
      </c>
      <c r="K202" s="18">
        <f>204+45</f>
        <v>249</v>
      </c>
      <c r="L202" s="19">
        <f t="shared" ref="L202:L208" si="0">SUM(F202:K202)</f>
        <v>292692.84999999998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2440+25716.11</f>
        <v>28156.11</v>
      </c>
      <c r="G203" s="18">
        <f>172.42+49.15+313.4+3397+5025+125+9078.88+128.85+35.06+1685.29+472.86+3366.43+33.33+113.62</f>
        <v>23996.29</v>
      </c>
      <c r="H203" s="18">
        <f>4184.6</f>
        <v>4184.6000000000004</v>
      </c>
      <c r="I203" s="18">
        <f>282.58+119.37+3530.35+552.48+305.5+505.63+307.56</f>
        <v>5603.47</v>
      </c>
      <c r="J203" s="18"/>
      <c r="K203" s="18"/>
      <c r="L203" s="19">
        <f t="shared" si="0"/>
        <v>61940.47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2530+336.6+1716+497.2+139330.62</f>
        <v>144410.41999999998</v>
      </c>
      <c r="G204" s="18">
        <f>193.55+24.23+37.57+131.28+37.49+16.71+34784.58+858.66+411.43+9891.43+7497.31+4674.02+180.57+615.58+2789.77+43</f>
        <v>62187.180000000008</v>
      </c>
      <c r="H204" s="18">
        <f>1440.12+49.43+132.39+159.28+103.84+7982.88+4554+8594.16+5687.01+707.21+5016+781.12+225.08+4805.13+310.56+1982.77</f>
        <v>42530.979999999996</v>
      </c>
      <c r="I204" s="18">
        <f>49.05+240.6+1466.64+752.2+143.54+7.24+22+37.37</f>
        <v>2718.6399999999994</v>
      </c>
      <c r="J204" s="18">
        <f>516.6</f>
        <v>516.6</v>
      </c>
      <c r="K204" s="18">
        <f>1416.14+437.06+580.8+706.06+430</f>
        <v>3570.06</v>
      </c>
      <c r="L204" s="19">
        <f t="shared" si="0"/>
        <v>255933.87999999998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92412.7</f>
        <v>92412.7</v>
      </c>
      <c r="G205" s="18">
        <f>20353.76+702.49+279.86+6688.79+2634.89+10784.57+119.76+408.29+729</f>
        <v>42701.41</v>
      </c>
      <c r="H205" s="18">
        <f>189.63+3520.66+815.74+1105.24+858.64</f>
        <v>6489.91</v>
      </c>
      <c r="I205" s="18">
        <f>1189.62+99.7</f>
        <v>1289.32</v>
      </c>
      <c r="J205" s="18"/>
      <c r="K205" s="18">
        <f>2050+28.6</f>
        <v>2078.6</v>
      </c>
      <c r="L205" s="19">
        <f t="shared" si="0"/>
        <v>144971.94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46477.41</f>
        <v>46477.41</v>
      </c>
      <c r="G207" s="18">
        <f>15656.78+24.39+3399.35+5191.49+60.23+205.34+105.6</f>
        <v>24643.18</v>
      </c>
      <c r="H207" s="18">
        <f>5632.32+3434.77+5800+978.3+3663.88+77.59+91.28+132+80.85</f>
        <v>19890.989999999998</v>
      </c>
      <c r="I207" s="18">
        <f>13184.29+25057.16+11365.03+826+51.92+358.56</f>
        <v>50842.959999999992</v>
      </c>
      <c r="J207" s="18">
        <f>2176.7+660+969.64</f>
        <v>3806.3399999999997</v>
      </c>
      <c r="K207" s="18">
        <f>10144.64+3069.74</f>
        <v>13214.38</v>
      </c>
      <c r="L207" s="19">
        <f t="shared" si="0"/>
        <v>158875.25999999998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6520.29+2147.21</f>
        <v>8667.5</v>
      </c>
      <c r="G208" s="18">
        <f>2040.82+53.31+35.88+464.71+575.82+27.43+8.45+28.81+1004.72+27.32+150.75+111.39+19.59+2.78+9.49</f>
        <v>4561.2699999999995</v>
      </c>
      <c r="H208" s="18">
        <f>1920.9+35841.55+3000+649+9500+3933</f>
        <v>54844.450000000004</v>
      </c>
      <c r="I208" s="18">
        <f>4279.55+870.15</f>
        <v>5149.7</v>
      </c>
      <c r="J208" s="18"/>
      <c r="K208" s="18"/>
      <c r="L208" s="19">
        <f t="shared" si="0"/>
        <v>73222.92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f>237.16</f>
        <v>237.16</v>
      </c>
      <c r="I209" s="18"/>
      <c r="J209" s="18"/>
      <c r="K209" s="18"/>
      <c r="L209" s="19">
        <f>SUM(F209:K209)</f>
        <v>237.16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1486790.3499999999</v>
      </c>
      <c r="G211" s="41">
        <f t="shared" si="1"/>
        <v>790869.12000000023</v>
      </c>
      <c r="H211" s="41">
        <f t="shared" si="1"/>
        <v>304644.30999999994</v>
      </c>
      <c r="I211" s="41">
        <f t="shared" si="1"/>
        <v>116560.76999999999</v>
      </c>
      <c r="J211" s="41">
        <f t="shared" si="1"/>
        <v>16171.32</v>
      </c>
      <c r="K211" s="41">
        <f t="shared" si="1"/>
        <v>21698.62</v>
      </c>
      <c r="L211" s="41">
        <f t="shared" si="1"/>
        <v>2736734.4899999998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441301.11+6850.45</f>
        <v>448151.56</v>
      </c>
      <c r="G215" s="18">
        <f>131099.27+3537.84+500.6+145.64+32062.34+68872.23+571.92+1949.73</f>
        <v>238739.57</v>
      </c>
      <c r="H215" s="18">
        <f>7508.56+1348.73+3403.25+74.9</f>
        <v>12335.44</v>
      </c>
      <c r="I215" s="18">
        <f>5023.37+837.43+5940.18+261.49+451.98+156.59</f>
        <v>12671.039999999999</v>
      </c>
      <c r="J215" s="18">
        <f>1007.6+69.99+4120</f>
        <v>5197.59</v>
      </c>
      <c r="K215" s="18">
        <f>1749.5</f>
        <v>1749.5</v>
      </c>
      <c r="L215" s="19">
        <f>SUM(F215:K215)</f>
        <v>718844.7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81626.64+1312.5+1362.5</f>
        <v>84301.64</v>
      </c>
      <c r="G216" s="18">
        <f>22322.94+390.18+89.7+5879.44+2162.92+9756.52+105.79+360.64+96.52+213.51+1.77+6.02</f>
        <v>41385.94999999999</v>
      </c>
      <c r="H216" s="18">
        <f>21387+912.57+16.02+27535.64+37216.44</f>
        <v>87067.67</v>
      </c>
      <c r="I216" s="18">
        <f>167.15+441.48</f>
        <v>608.63</v>
      </c>
      <c r="J216" s="18"/>
      <c r="K216" s="18"/>
      <c r="L216" s="19">
        <f>SUM(F216:K216)</f>
        <v>213363.89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11252+2895</f>
        <v>14147</v>
      </c>
      <c r="G218" s="18">
        <f>923.41+990.68+15.44+52.64+45+218.83+41.89+235.05</f>
        <v>2522.94</v>
      </c>
      <c r="H218" s="18">
        <f>3680</f>
        <v>3680</v>
      </c>
      <c r="I218" s="18">
        <f>470+99</f>
        <v>569</v>
      </c>
      <c r="J218" s="18"/>
      <c r="K218" s="18">
        <f>605</f>
        <v>605</v>
      </c>
      <c r="L218" s="19">
        <f>SUM(F218:K218)</f>
        <v>21523.94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35205.6+8049.91</f>
        <v>43255.509999999995</v>
      </c>
      <c r="G220" s="18">
        <f>15364.59+329.2+13.18+2348.41+1740.18+3075.55+45.63+155.54+4861.8+89.78+507.74+1261.51+10.43+35.57</f>
        <v>29839.11</v>
      </c>
      <c r="H220" s="18">
        <f>175.61+1000+20414.98+149.7+6060+6406.62+100+2300</f>
        <v>36606.910000000003</v>
      </c>
      <c r="I220" s="18">
        <f>24.49+195.91+69.52</f>
        <v>289.92</v>
      </c>
      <c r="J220" s="18">
        <f>366.85</f>
        <v>366.85</v>
      </c>
      <c r="K220" s="18"/>
      <c r="L220" s="19">
        <f t="shared" ref="L220:L226" si="2">SUM(F220:K220)</f>
        <v>110358.3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730+19726.1</f>
        <v>20456.099999999999</v>
      </c>
      <c r="G221" s="18">
        <f>53.42+25.69+78.34+2162+139+7944.45+89.78+19.93+1241.77+530.94+2346.24+25.56+87.15</f>
        <v>14744.27</v>
      </c>
      <c r="H221" s="18">
        <f>1351.07</f>
        <v>1351.07</v>
      </c>
      <c r="I221" s="18">
        <f>225.21+132.35+1516.85+279.42+176.24+903.36+160.77</f>
        <v>3394.2</v>
      </c>
      <c r="J221" s="18"/>
      <c r="K221" s="18"/>
      <c r="L221" s="19">
        <f t="shared" si="2"/>
        <v>39945.639999999992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1322.5+175.95+897+259.9+72833.74</f>
        <v>75489.090000000011</v>
      </c>
      <c r="G222" s="18">
        <f>101.18+12.62+19.72+68.6+19.55+8.73+18188.94+449.03+230.35+5170.82+3919.39+2443.22+94.39+321.79+1434.8+23</f>
        <v>32506.129999999997</v>
      </c>
      <c r="H222" s="18">
        <f>752.79+25.84+69.2+83.26+54.28+4172.87+2380.5+4491.19+3172.75+403.14+2622+408.31+117.66+2506.67+218.48+1036.43+117.5</f>
        <v>22632.87</v>
      </c>
      <c r="I222" s="18">
        <f>23.04+131.71+881.05+393.2+75.04+3.79+22+19.54</f>
        <v>1549.37</v>
      </c>
      <c r="J222" s="18">
        <f>270.04</f>
        <v>270.04000000000002</v>
      </c>
      <c r="K222" s="18">
        <f>740.25+171.65+303.6+56.62+230</f>
        <v>1502.12</v>
      </c>
      <c r="L222" s="19">
        <f t="shared" si="2"/>
        <v>133949.62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67600.48</f>
        <v>67600.479999999996</v>
      </c>
      <c r="G223" s="18">
        <f>16378.97+408.3+93.29+4640.72+1361.89+8682.18+87.61+298.67</f>
        <v>31951.63</v>
      </c>
      <c r="H223" s="18">
        <f>101.43+1840.31+477.92+576.83+289.47</f>
        <v>3285.96</v>
      </c>
      <c r="I223" s="18">
        <f>410.55+51.12+223</f>
        <v>684.67000000000007</v>
      </c>
      <c r="J223" s="18"/>
      <c r="K223" s="18">
        <f>1444.25+14.95</f>
        <v>1459.2</v>
      </c>
      <c r="L223" s="19">
        <f t="shared" si="2"/>
        <v>104981.94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27450.75</f>
        <v>27450.75</v>
      </c>
      <c r="G225" s="18">
        <f>5720.75+105.06+22.06+2002.33+3066.23+35.58+121.28+55.2</f>
        <v>11128.490000000002</v>
      </c>
      <c r="H225" s="18">
        <f>2857.73+1459.29+423.29+250+3400+672.04+1915.21+47.38+47.72+69+42.26</f>
        <v>11183.92</v>
      </c>
      <c r="I225" s="18">
        <f>7006.07+21564.21+13221.05+874.71+27.14+187.41</f>
        <v>42880.590000000004</v>
      </c>
      <c r="J225" s="18">
        <f>1880.45+545+513.22</f>
        <v>2938.67</v>
      </c>
      <c r="K225" s="18">
        <f>14114.29+1641.95</f>
        <v>15756.240000000002</v>
      </c>
      <c r="L225" s="19">
        <f t="shared" si="2"/>
        <v>111338.66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f>2069.9+431.25+1620</f>
        <v>4121.1499999999996</v>
      </c>
      <c r="G226" s="18">
        <f>2012.26+48.18+132.78+223.5+2.68+9.15+32.96+123.93</f>
        <v>2585.44</v>
      </c>
      <c r="H226" s="18">
        <f>18735.3+7642.2+11438.7</f>
        <v>37816.199999999997</v>
      </c>
      <c r="I226" s="18">
        <f>638.51</f>
        <v>638.51</v>
      </c>
      <c r="J226" s="18"/>
      <c r="K226" s="18"/>
      <c r="L226" s="19">
        <f t="shared" si="2"/>
        <v>45161.299999999996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f>123.97</f>
        <v>123.97</v>
      </c>
      <c r="I227" s="18"/>
      <c r="J227" s="18"/>
      <c r="K227" s="18"/>
      <c r="L227" s="19">
        <f>SUM(F227:K227)</f>
        <v>123.97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784973.27999999991</v>
      </c>
      <c r="G229" s="41">
        <f>SUM(G215:G228)</f>
        <v>405403.53</v>
      </c>
      <c r="H229" s="41">
        <f>SUM(H215:H228)</f>
        <v>216084.01000000004</v>
      </c>
      <c r="I229" s="41">
        <f>SUM(I215:I228)</f>
        <v>63285.93</v>
      </c>
      <c r="J229" s="41">
        <f>SUM(J215:J228)</f>
        <v>8773.1500000000015</v>
      </c>
      <c r="K229" s="41">
        <f t="shared" si="3"/>
        <v>21072.06</v>
      </c>
      <c r="L229" s="41">
        <f t="shared" si="3"/>
        <v>1499591.9599999997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714481.99+30395.41</f>
        <v>744877.4</v>
      </c>
      <c r="G233" s="18">
        <f>207459.41+4301.68+1022.58+208+53250.04+581.09+107629.67+925.95+3156.69</f>
        <v>378535.11</v>
      </c>
      <c r="H233" s="18">
        <f>14957.5+2680.68+5081.75+16915.03+3656+1122.5</f>
        <v>44413.46</v>
      </c>
      <c r="I233" s="18">
        <f>7326.82+3085.29+189.28+1168.67+3030.81+682.47+918.5+1193.06</f>
        <v>17594.900000000001</v>
      </c>
      <c r="J233" s="18">
        <f>5240.16+234.2+5700.95+389.95+8101.46+6107.13+381.5</f>
        <v>26155.350000000002</v>
      </c>
      <c r="K233" s="18">
        <f>3168.96</f>
        <v>3168.96</v>
      </c>
      <c r="L233" s="19">
        <f>SUM(F233:K233)</f>
        <v>1214745.18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83980.4+1200+125</f>
        <v>85305.4</v>
      </c>
      <c r="G234" s="18">
        <f>12647.09+798.94+144.66+6653.72+2058.45+7748.25+108.84+371.04+9.56+0.16+0.55</f>
        <v>30541.260000000002</v>
      </c>
      <c r="H234" s="18">
        <f>1285.91+22.98+69434.64+27709.28+281.43-51776.84</f>
        <v>46957.399999999994</v>
      </c>
      <c r="I234" s="18">
        <f>177.66+342.4+643.24+28.79</f>
        <v>1192.0899999999999</v>
      </c>
      <c r="J234" s="18"/>
      <c r="K234" s="18"/>
      <c r="L234" s="19">
        <f>SUM(F234:K234)</f>
        <v>163996.15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12117.95</f>
        <v>12117.95</v>
      </c>
      <c r="I235" s="18"/>
      <c r="J235" s="18"/>
      <c r="K235" s="18"/>
      <c r="L235" s="19">
        <f>SUM(F235:K235)</f>
        <v>12117.95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45748.99+5661.5</f>
        <v>51410.49</v>
      </c>
      <c r="G236" s="18">
        <f>3437.92+452.37+3061.3+59.29+202.13+225+416.87+25.14+851.91</f>
        <v>8731.93</v>
      </c>
      <c r="H236" s="18">
        <f>9666</f>
        <v>9666</v>
      </c>
      <c r="I236" s="18">
        <f>16163.39+1416.92+52.95</f>
        <v>17633.259999999998</v>
      </c>
      <c r="J236" s="18"/>
      <c r="K236" s="18">
        <f>5592</f>
        <v>5592</v>
      </c>
      <c r="L236" s="19">
        <f>SUM(F236:K236)</f>
        <v>93033.68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48481.44+11550.01</f>
        <v>60031.450000000004</v>
      </c>
      <c r="G238" s="18">
        <f>21089.7+444.88+76.52+3234.19+2126.8+4613.43+62.83+214.2+6975.4+128.62+728.25+1809.86+14.97+51.03</f>
        <v>41570.680000000008</v>
      </c>
      <c r="H238" s="18">
        <f>23000+4583.22+417.25+800+251.97+577.25+563.66+1387.5+17376+9260.37+468.65+100+3400</f>
        <v>62185.87000000001</v>
      </c>
      <c r="I238" s="18">
        <f>340.1+695+239.22+99.74</f>
        <v>1374.06</v>
      </c>
      <c r="J238" s="18">
        <f>119.99+526.34</f>
        <v>646.33000000000004</v>
      </c>
      <c r="K238" s="18"/>
      <c r="L238" s="19">
        <f t="shared" ref="L238:L244" si="4">SUM(F238:K238)</f>
        <v>165808.38999999998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1080+33459.58</f>
        <v>34539.58</v>
      </c>
      <c r="G239" s="18">
        <f>79.86+36.86+117.52+2393+1358+1164+11308.12+171.56+28.91+2218.27+540.72+4488.4+43.36+147.83</f>
        <v>24096.410000000003</v>
      </c>
      <c r="H239" s="18">
        <f>1938.44+1224.87+211.05</f>
        <v>3374.36</v>
      </c>
      <c r="I239" s="18">
        <f>302.29+144.26+2095.14+423.29+216.17+1311.8+230.67</f>
        <v>4723.62</v>
      </c>
      <c r="J239" s="18">
        <f>809.96</f>
        <v>809.96</v>
      </c>
      <c r="K239" s="18"/>
      <c r="L239" s="19">
        <f t="shared" si="4"/>
        <v>67543.930000000008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1897.5+252.45+1287+372.9+104504.18</f>
        <v>108314.03</v>
      </c>
      <c r="G240" s="18">
        <f>145.15+17.94+28.06+98.48+28.11+12.54+26097.49+643.21+335.95+7419.28+5623.71+3505.57+135.44+461.71+2114.18+34</f>
        <v>46700.82</v>
      </c>
      <c r="H240" s="18">
        <f>1080.09+37.08+99.29+119.46+77.88+5987.15+3415.5+6441.5+4568.73+605.78+3762+585.82+168.8+3526.69+213.72+1487.07+117.5</f>
        <v>32294.059999999994</v>
      </c>
      <c r="I240" s="18">
        <f>33.05+189.1+1104.05+564.16+107.67+5.43+22+28.03</f>
        <v>2053.4899999999998</v>
      </c>
      <c r="J240" s="18">
        <f>387.43</f>
        <v>387.43</v>
      </c>
      <c r="K240" s="18">
        <f>1062.1+302.79+435.6+195.52+340</f>
        <v>2336.0099999999998</v>
      </c>
      <c r="L240" s="19">
        <f t="shared" si="4"/>
        <v>192085.84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70550.56</f>
        <v>70550.559999999998</v>
      </c>
      <c r="G241" s="18">
        <f>18066+449.93+157.87+4780.08+1691.45+8682.64+91.43+311.7+298</f>
        <v>34529.1</v>
      </c>
      <c r="H241" s="18">
        <f>933.27+2640.44+599.3+827.93+389.26+304.3</f>
        <v>5694.5000000000009</v>
      </c>
      <c r="I241" s="18">
        <f>1661.94+85.72+825.76</f>
        <v>2573.42</v>
      </c>
      <c r="J241" s="18"/>
      <c r="K241" s="18">
        <f>1537.75-45.55</f>
        <v>1492.2</v>
      </c>
      <c r="L241" s="19">
        <f t="shared" si="4"/>
        <v>114839.78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79557.45+1077.04</f>
        <v>80634.489999999991</v>
      </c>
      <c r="G243" s="18">
        <f>7226.21+360.22+17.91+6029.38+5787.6+104.5+356.26+89.2</f>
        <v>19971.28</v>
      </c>
      <c r="H243" s="18">
        <f>10952.89+6707.31+1514.09+4618+816.47+2761.91+57.73+68.45+99+60.64</f>
        <v>27656.49</v>
      </c>
      <c r="I243" s="18">
        <f>9940.57+29877.55+17412.1+1220.2+38.93+268.9</f>
        <v>58758.249999999993</v>
      </c>
      <c r="J243" s="18">
        <f>2037.45+695+736.33+120.79</f>
        <v>3589.5699999999997</v>
      </c>
      <c r="K243" s="18">
        <f>19732.67+2427.23</f>
        <v>22159.899999999998</v>
      </c>
      <c r="L243" s="19">
        <f t="shared" si="4"/>
        <v>212769.97999999998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f>689.67+31199.45+652</f>
        <v>32541.119999999999</v>
      </c>
      <c r="G244" s="18">
        <f>33.63+0.84+52.61+4.49+0.9+3.05+25515.16+632.84+2075.18+3249.89+40.43+137.84+49.89</f>
        <v>31796.75</v>
      </c>
      <c r="H244" s="18">
        <f>26881.15+99.95+5128.74+11873.8+2064.3</f>
        <v>46047.94</v>
      </c>
      <c r="I244" s="18">
        <f>202.16+29.67+7319.39</f>
        <v>7551.22</v>
      </c>
      <c r="J244" s="18"/>
      <c r="K244" s="18"/>
      <c r="L244" s="19">
        <f t="shared" si="4"/>
        <v>117937.03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f>202.87</f>
        <v>202.87</v>
      </c>
      <c r="I245" s="18"/>
      <c r="J245" s="18"/>
      <c r="K245" s="18"/>
      <c r="L245" s="19">
        <f>SUM(F245:K245)</f>
        <v>202.87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1268204.52</v>
      </c>
      <c r="G247" s="41">
        <f t="shared" si="5"/>
        <v>616473.34</v>
      </c>
      <c r="H247" s="41">
        <f t="shared" si="5"/>
        <v>290610.89999999997</v>
      </c>
      <c r="I247" s="41">
        <f t="shared" si="5"/>
        <v>113454.31</v>
      </c>
      <c r="J247" s="41">
        <f t="shared" si="5"/>
        <v>31588.640000000003</v>
      </c>
      <c r="K247" s="41">
        <f t="shared" si="5"/>
        <v>34749.07</v>
      </c>
      <c r="L247" s="41">
        <f t="shared" si="5"/>
        <v>2355080.7799999998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3539968.15</v>
      </c>
      <c r="G257" s="41">
        <f t="shared" si="8"/>
        <v>1812745.9900000002</v>
      </c>
      <c r="H257" s="41">
        <f t="shared" si="8"/>
        <v>811339.22</v>
      </c>
      <c r="I257" s="41">
        <f t="shared" si="8"/>
        <v>293301.01</v>
      </c>
      <c r="J257" s="41">
        <f t="shared" si="8"/>
        <v>56533.11</v>
      </c>
      <c r="K257" s="41">
        <f t="shared" si="8"/>
        <v>77519.75</v>
      </c>
      <c r="L257" s="41">
        <f t="shared" si="8"/>
        <v>6591407.2299999986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8723.77</v>
      </c>
      <c r="L263" s="19">
        <f>SUM(F263:K263)</f>
        <v>8723.77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51776.84</v>
      </c>
      <c r="L268" s="19">
        <f t="shared" si="9"/>
        <v>51776.84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160500.60999999999</v>
      </c>
      <c r="L270" s="41">
        <f t="shared" si="9"/>
        <v>160500.60999999999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3539968.15</v>
      </c>
      <c r="G271" s="42">
        <f t="shared" si="11"/>
        <v>1812745.9900000002</v>
      </c>
      <c r="H271" s="42">
        <f t="shared" si="11"/>
        <v>811339.22</v>
      </c>
      <c r="I271" s="42">
        <f t="shared" si="11"/>
        <v>293301.01</v>
      </c>
      <c r="J271" s="42">
        <f t="shared" si="11"/>
        <v>56533.11</v>
      </c>
      <c r="K271" s="42">
        <f t="shared" si="11"/>
        <v>238020.36</v>
      </c>
      <c r="L271" s="42">
        <f t="shared" si="11"/>
        <v>6751907.8399999989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78843.05</f>
        <v>78843.05</v>
      </c>
      <c r="G276" s="18">
        <f>16245.84+732.06+5800.76+486.07+11672.95</f>
        <v>34937.680000000008</v>
      </c>
      <c r="H276" s="18"/>
      <c r="I276" s="18">
        <f>4420.28+2610.96+6981.96</f>
        <v>14013.2</v>
      </c>
      <c r="J276" s="18">
        <f>24688.7+5296.5</f>
        <v>29985.200000000001</v>
      </c>
      <c r="K276" s="18"/>
      <c r="L276" s="19">
        <f>SUM(F276:K276)</f>
        <v>157779.13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f>41079.25+11970</f>
        <v>53049.25</v>
      </c>
      <c r="I277" s="18">
        <f>869.64</f>
        <v>869.64</v>
      </c>
      <c r="J277" s="18"/>
      <c r="K277" s="18">
        <f>100</f>
        <v>100</v>
      </c>
      <c r="L277" s="19">
        <f>SUM(F277:K277)</f>
        <v>54018.89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4962.5</f>
        <v>4962.5</v>
      </c>
      <c r="G279" s="18">
        <f>365.31+777.64</f>
        <v>1142.95</v>
      </c>
      <c r="H279" s="18"/>
      <c r="I279" s="18"/>
      <c r="J279" s="18"/>
      <c r="K279" s="18"/>
      <c r="L279" s="19">
        <f>SUM(F279:K279)</f>
        <v>6105.45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f>7821.93</f>
        <v>7821.93</v>
      </c>
      <c r="I281" s="18"/>
      <c r="J281" s="18"/>
      <c r="K281" s="18"/>
      <c r="L281" s="19">
        <f t="shared" ref="L281:L287" si="12">SUM(F281:K281)</f>
        <v>7821.93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f>3520+2838+25000</f>
        <v>31358</v>
      </c>
      <c r="I282" s="18"/>
      <c r="J282" s="18"/>
      <c r="K282" s="18"/>
      <c r="L282" s="19">
        <f t="shared" si="12"/>
        <v>31358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83805.55</v>
      </c>
      <c r="G290" s="42">
        <f t="shared" si="13"/>
        <v>36080.630000000005</v>
      </c>
      <c r="H290" s="42">
        <f t="shared" si="13"/>
        <v>92229.18</v>
      </c>
      <c r="I290" s="42">
        <f t="shared" si="13"/>
        <v>14882.84</v>
      </c>
      <c r="J290" s="42">
        <f t="shared" si="13"/>
        <v>29985.200000000001</v>
      </c>
      <c r="K290" s="42">
        <f t="shared" si="13"/>
        <v>100</v>
      </c>
      <c r="L290" s="41">
        <f t="shared" si="13"/>
        <v>257083.40000000002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>
        <f>1000</f>
        <v>1000</v>
      </c>
      <c r="L295" s="19">
        <f>SUM(F295:K295)</f>
        <v>1000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>
        <f>2152.5</f>
        <v>2152.5</v>
      </c>
      <c r="I296" s="18"/>
      <c r="J296" s="18"/>
      <c r="K296" s="18"/>
      <c r="L296" s="19">
        <f>SUM(F296:K296)</f>
        <v>2152.5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f>9993.02</f>
        <v>9993.02</v>
      </c>
      <c r="I300" s="18"/>
      <c r="J300" s="18"/>
      <c r="K300" s="18"/>
      <c r="L300" s="19">
        <f t="shared" ref="L300:L306" si="14">SUM(F300:K300)</f>
        <v>9993.02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f>1840+450</f>
        <v>2290</v>
      </c>
      <c r="I301" s="18"/>
      <c r="J301" s="18"/>
      <c r="K301" s="18"/>
      <c r="L301" s="19">
        <f t="shared" si="14"/>
        <v>2290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14435.52</v>
      </c>
      <c r="I309" s="42">
        <f t="shared" si="15"/>
        <v>0</v>
      </c>
      <c r="J309" s="42">
        <f t="shared" si="15"/>
        <v>0</v>
      </c>
      <c r="K309" s="42">
        <f t="shared" si="15"/>
        <v>1000</v>
      </c>
      <c r="L309" s="41">
        <f t="shared" si="15"/>
        <v>15435.52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>
        <f>6290</f>
        <v>6290</v>
      </c>
      <c r="L314" s="19">
        <f>SUM(F314:K314)</f>
        <v>6290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>
        <f>2625</f>
        <v>2625</v>
      </c>
      <c r="I315" s="18"/>
      <c r="J315" s="18"/>
      <c r="K315" s="18"/>
      <c r="L315" s="19">
        <f>SUM(F315:K315)</f>
        <v>2625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500</f>
        <v>500</v>
      </c>
      <c r="G320" s="18"/>
      <c r="H320" s="18">
        <f>2640</f>
        <v>2640</v>
      </c>
      <c r="I320" s="18"/>
      <c r="J320" s="18"/>
      <c r="K320" s="18"/>
      <c r="L320" s="19">
        <f t="shared" si="16"/>
        <v>3140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500</v>
      </c>
      <c r="G328" s="42">
        <f t="shared" si="17"/>
        <v>0</v>
      </c>
      <c r="H328" s="42">
        <f t="shared" si="17"/>
        <v>5265</v>
      </c>
      <c r="I328" s="42">
        <f t="shared" si="17"/>
        <v>0</v>
      </c>
      <c r="J328" s="42">
        <f t="shared" si="17"/>
        <v>0</v>
      </c>
      <c r="K328" s="42">
        <f t="shared" si="17"/>
        <v>6290</v>
      </c>
      <c r="L328" s="41">
        <f t="shared" si="17"/>
        <v>12055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84305.55</v>
      </c>
      <c r="G338" s="41">
        <f t="shared" si="20"/>
        <v>36080.630000000005</v>
      </c>
      <c r="H338" s="41">
        <f t="shared" si="20"/>
        <v>111929.7</v>
      </c>
      <c r="I338" s="41">
        <f t="shared" si="20"/>
        <v>14882.84</v>
      </c>
      <c r="J338" s="41">
        <f t="shared" si="20"/>
        <v>29985.200000000001</v>
      </c>
      <c r="K338" s="41">
        <f t="shared" si="20"/>
        <v>7390</v>
      </c>
      <c r="L338" s="41">
        <f t="shared" si="20"/>
        <v>284573.92000000004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84305.55</v>
      </c>
      <c r="G352" s="41">
        <f>G338</f>
        <v>36080.630000000005</v>
      </c>
      <c r="H352" s="41">
        <f>H338</f>
        <v>111929.7</v>
      </c>
      <c r="I352" s="41">
        <f>I338</f>
        <v>14882.84</v>
      </c>
      <c r="J352" s="41">
        <f>J338</f>
        <v>29985.200000000001</v>
      </c>
      <c r="K352" s="47">
        <f>K338+K351</f>
        <v>7390</v>
      </c>
      <c r="L352" s="41">
        <f>L338+L351</f>
        <v>284573.92000000004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2661.51+67914.47</f>
        <v>70575.98</v>
      </c>
      <c r="I358" s="18">
        <f>346.3</f>
        <v>346.3</v>
      </c>
      <c r="J358" s="18">
        <f>413.3</f>
        <v>413.3</v>
      </c>
      <c r="K358" s="18">
        <f>-6981.96</f>
        <v>-6981.96</v>
      </c>
      <c r="L358" s="13">
        <f>SUM(F358:K358)</f>
        <v>64353.62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f>1405.48+35500.72</f>
        <v>36906.200000000004</v>
      </c>
      <c r="I359" s="18">
        <f>181.03</f>
        <v>181.03</v>
      </c>
      <c r="J359" s="18">
        <f>254.42</f>
        <v>254.42</v>
      </c>
      <c r="K359" s="18"/>
      <c r="L359" s="19">
        <f>SUM(F359:K359)</f>
        <v>37341.65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f>2096.84+50935.81</f>
        <v>53032.649999999994</v>
      </c>
      <c r="I360" s="18">
        <f>259.75</f>
        <v>259.75</v>
      </c>
      <c r="J360" s="18">
        <f>346.77</f>
        <v>346.77</v>
      </c>
      <c r="K360" s="18"/>
      <c r="L360" s="19">
        <f>SUM(F360:K360)</f>
        <v>53639.169999999991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160514.82999999999</v>
      </c>
      <c r="I362" s="47">
        <f t="shared" si="22"/>
        <v>787.08</v>
      </c>
      <c r="J362" s="47">
        <f t="shared" si="22"/>
        <v>1014.49</v>
      </c>
      <c r="K362" s="47">
        <f t="shared" si="22"/>
        <v>-6981.96</v>
      </c>
      <c r="L362" s="47">
        <f t="shared" si="22"/>
        <v>155334.44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346.3</v>
      </c>
      <c r="G368" s="63">
        <v>181.03</v>
      </c>
      <c r="H368" s="63">
        <v>259.75</v>
      </c>
      <c r="I368" s="56">
        <f>SUM(F368:H368)</f>
        <v>787.08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346.3</v>
      </c>
      <c r="G369" s="47">
        <f>SUM(G367:G368)</f>
        <v>181.03</v>
      </c>
      <c r="H369" s="47">
        <f>SUM(H367:H368)</f>
        <v>259.75</v>
      </c>
      <c r="I369" s="47">
        <f>SUM(I367:I368)</f>
        <v>787.08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317467.58</v>
      </c>
      <c r="I379" s="18"/>
      <c r="J379" s="18"/>
      <c r="K379" s="18"/>
      <c r="L379" s="13">
        <f t="shared" si="23"/>
        <v>317467.58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317467.58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317467.58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f>60000</f>
        <v>60000</v>
      </c>
      <c r="H396" s="18">
        <f>485.53</f>
        <v>485.53</v>
      </c>
      <c r="I396" s="18"/>
      <c r="J396" s="24" t="s">
        <v>288</v>
      </c>
      <c r="K396" s="24" t="s">
        <v>288</v>
      </c>
      <c r="L396" s="56">
        <f t="shared" si="26"/>
        <v>60485.53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f>10000</f>
        <v>10000</v>
      </c>
      <c r="H397" s="18">
        <f>334.43</f>
        <v>334.43</v>
      </c>
      <c r="I397" s="18"/>
      <c r="J397" s="24" t="s">
        <v>288</v>
      </c>
      <c r="K397" s="24" t="s">
        <v>288</v>
      </c>
      <c r="L397" s="56">
        <f t="shared" si="26"/>
        <v>10334.43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f>10000</f>
        <v>10000</v>
      </c>
      <c r="H399" s="18">
        <f>55.95</f>
        <v>55.95</v>
      </c>
      <c r="I399" s="18"/>
      <c r="J399" s="24" t="s">
        <v>288</v>
      </c>
      <c r="K399" s="24" t="s">
        <v>288</v>
      </c>
      <c r="L399" s="56">
        <f t="shared" si="26"/>
        <v>10055.950000000001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20000</v>
      </c>
      <c r="H400" s="18">
        <f>41.45+111.18+65.82+18.4</f>
        <v>236.85</v>
      </c>
      <c r="I400" s="18"/>
      <c r="J400" s="24" t="s">
        <v>288</v>
      </c>
      <c r="K400" s="24" t="s">
        <v>288</v>
      </c>
      <c r="L400" s="56">
        <f t="shared" si="26"/>
        <v>20236.849999999999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1112.76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101112.75999999998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1112.76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101112.75999999998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f>71897.55</f>
        <v>71897.55</v>
      </c>
      <c r="I422" s="18"/>
      <c r="J422" s="18"/>
      <c r="K422" s="18"/>
      <c r="L422" s="56">
        <f t="shared" si="29"/>
        <v>71897.55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>
        <f>15163.85</f>
        <v>15163.85</v>
      </c>
      <c r="K426" s="18">
        <v>250</v>
      </c>
      <c r="L426" s="56">
        <f t="shared" si="29"/>
        <v>15413.85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71897.55</v>
      </c>
      <c r="I427" s="47">
        <f t="shared" si="30"/>
        <v>0</v>
      </c>
      <c r="J427" s="47">
        <f t="shared" si="30"/>
        <v>15163.85</v>
      </c>
      <c r="K427" s="47">
        <f t="shared" si="30"/>
        <v>250</v>
      </c>
      <c r="L427" s="47">
        <f t="shared" si="30"/>
        <v>87311.400000000009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71897.55</v>
      </c>
      <c r="I434" s="47">
        <f t="shared" si="32"/>
        <v>0</v>
      </c>
      <c r="J434" s="47">
        <f t="shared" si="32"/>
        <v>15163.85</v>
      </c>
      <c r="K434" s="47">
        <f t="shared" si="32"/>
        <v>250</v>
      </c>
      <c r="L434" s="47">
        <f t="shared" si="32"/>
        <v>87311.400000000009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f>375445.52+6922.33</f>
        <v>382367.85000000003</v>
      </c>
      <c r="H439" s="18"/>
      <c r="I439" s="56">
        <f t="shared" ref="I439:I445" si="33">SUM(F439:H439)</f>
        <v>382367.85000000003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382367.85000000003</v>
      </c>
      <c r="H446" s="13">
        <f>SUM(H439:H445)</f>
        <v>0</v>
      </c>
      <c r="I446" s="13">
        <f>SUM(I439:I445)</f>
        <v>382367.85000000003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375445.52+6922.33</f>
        <v>382367.85000000003</v>
      </c>
      <c r="H459" s="18"/>
      <c r="I459" s="56">
        <f t="shared" si="34"/>
        <v>382367.85000000003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382367.85000000003</v>
      </c>
      <c r="H460" s="83">
        <f>SUM(H454:H459)</f>
        <v>0</v>
      </c>
      <c r="I460" s="83">
        <f>SUM(I454:I459)</f>
        <v>382367.85000000003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382367.85000000003</v>
      </c>
      <c r="H461" s="42">
        <f>H452+H460</f>
        <v>0</v>
      </c>
      <c r="I461" s="42">
        <f>I452+I460</f>
        <v>382367.85000000003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339165.65</v>
      </c>
      <c r="G465" s="18">
        <v>9043.67</v>
      </c>
      <c r="H465" s="18">
        <v>5080.93</v>
      </c>
      <c r="I465" s="18">
        <v>92770.2</v>
      </c>
      <c r="J465" s="18">
        <v>368566.49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6743744.0599999996</v>
      </c>
      <c r="G468" s="18">
        <v>155334.44</v>
      </c>
      <c r="H468" s="18">
        <v>284573.92</v>
      </c>
      <c r="I468" s="18">
        <v>251000</v>
      </c>
      <c r="J468" s="18">
        <v>101112.76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6743744.0599999996</v>
      </c>
      <c r="G470" s="53">
        <f>SUM(G468:G469)</f>
        <v>155334.44</v>
      </c>
      <c r="H470" s="53">
        <f>SUM(H468:H469)</f>
        <v>284573.92</v>
      </c>
      <c r="I470" s="53">
        <f>SUM(I468:I469)</f>
        <v>251000</v>
      </c>
      <c r="J470" s="53">
        <f>SUM(J468:J469)</f>
        <v>101112.76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6751907.8399999999</v>
      </c>
      <c r="G472" s="18">
        <v>155334.44</v>
      </c>
      <c r="H472" s="18">
        <v>284573.92</v>
      </c>
      <c r="I472" s="18">
        <v>317467.58</v>
      </c>
      <c r="J472" s="18">
        <v>87311.4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6751907.8399999999</v>
      </c>
      <c r="G474" s="53">
        <f>SUM(G472:G473)</f>
        <v>155334.44</v>
      </c>
      <c r="H474" s="53">
        <f>SUM(H472:H473)</f>
        <v>284573.92</v>
      </c>
      <c r="I474" s="53">
        <f>SUM(I472:I473)</f>
        <v>317467.58</v>
      </c>
      <c r="J474" s="53">
        <f>SUM(J472:J473)</f>
        <v>87311.4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331001.87000000011</v>
      </c>
      <c r="G476" s="53">
        <f>(G465+G470)- G474</f>
        <v>9043.6700000000128</v>
      </c>
      <c r="H476" s="53">
        <f>(H465+H470)- H474</f>
        <v>5080.929999999993</v>
      </c>
      <c r="I476" s="53">
        <f>(I465+I470)- I474</f>
        <v>26302.619999999995</v>
      </c>
      <c r="J476" s="53">
        <f>(J465+J470)- J474</f>
        <v>382367.85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209683.58</v>
      </c>
      <c r="G521" s="18">
        <v>103606.21</v>
      </c>
      <c r="H521" s="18">
        <v>61341.26</v>
      </c>
      <c r="I521" s="18">
        <v>1600.72</v>
      </c>
      <c r="J521" s="18">
        <v>517</v>
      </c>
      <c r="K521" s="18">
        <v>549.98</v>
      </c>
      <c r="L521" s="88">
        <f>SUM(F521:K521)</f>
        <v>377298.74999999994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84301.64</v>
      </c>
      <c r="G522" s="18">
        <v>41385.949999999997</v>
      </c>
      <c r="H522" s="18">
        <v>89220.17</v>
      </c>
      <c r="I522" s="18">
        <v>608.63</v>
      </c>
      <c r="J522" s="18"/>
      <c r="K522" s="18"/>
      <c r="L522" s="88">
        <f>SUM(F522:K522)</f>
        <v>215516.39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85305.4</v>
      </c>
      <c r="G523" s="18">
        <v>30541.26</v>
      </c>
      <c r="H523" s="18">
        <v>49582.400000000001</v>
      </c>
      <c r="I523" s="18">
        <v>1192.0899999999999</v>
      </c>
      <c r="J523" s="18"/>
      <c r="K523" s="18"/>
      <c r="L523" s="88">
        <f>SUM(F523:K523)</f>
        <v>166621.15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379290.62</v>
      </c>
      <c r="G524" s="108">
        <f t="shared" ref="G524:L524" si="36">SUM(G521:G523)</f>
        <v>175533.42</v>
      </c>
      <c r="H524" s="108">
        <f t="shared" si="36"/>
        <v>200143.83</v>
      </c>
      <c r="I524" s="108">
        <f t="shared" si="36"/>
        <v>3401.4399999999996</v>
      </c>
      <c r="J524" s="108">
        <f t="shared" si="36"/>
        <v>517</v>
      </c>
      <c r="K524" s="108">
        <f t="shared" si="36"/>
        <v>549.98</v>
      </c>
      <c r="L524" s="89">
        <f t="shared" si="36"/>
        <v>759436.28999999992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18902.96</v>
      </c>
      <c r="G526" s="18">
        <v>16394.03</v>
      </c>
      <c r="H526" s="18">
        <v>143888.82</v>
      </c>
      <c r="I526" s="18">
        <v>403.86</v>
      </c>
      <c r="J526" s="18"/>
      <c r="K526" s="18"/>
      <c r="L526" s="88">
        <f>SUM(F526:K526)</f>
        <v>179589.66999999998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43024.32</v>
      </c>
      <c r="I527" s="18"/>
      <c r="J527" s="18"/>
      <c r="K527" s="18"/>
      <c r="L527" s="88">
        <f>SUM(F527:K527)</f>
        <v>43024.32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27105.02</v>
      </c>
      <c r="I528" s="18"/>
      <c r="J528" s="18"/>
      <c r="K528" s="18"/>
      <c r="L528" s="88">
        <f>SUM(F528:K528)</f>
        <v>27105.02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18902.96</v>
      </c>
      <c r="G529" s="89">
        <f t="shared" ref="G529:L529" si="37">SUM(G526:G528)</f>
        <v>16394.03</v>
      </c>
      <c r="H529" s="89">
        <f t="shared" si="37"/>
        <v>214018.16</v>
      </c>
      <c r="I529" s="89">
        <f t="shared" si="37"/>
        <v>403.86</v>
      </c>
      <c r="J529" s="89">
        <f t="shared" si="37"/>
        <v>0</v>
      </c>
      <c r="K529" s="89">
        <f t="shared" si="37"/>
        <v>0</v>
      </c>
      <c r="L529" s="89">
        <f t="shared" si="37"/>
        <v>249719.00999999998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36842.93</v>
      </c>
      <c r="G531" s="18">
        <v>9284.42</v>
      </c>
      <c r="H531" s="18"/>
      <c r="I531" s="18"/>
      <c r="J531" s="18"/>
      <c r="K531" s="18"/>
      <c r="L531" s="88">
        <f>SUM(F531:K531)</f>
        <v>46127.35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13263.46</v>
      </c>
      <c r="G532" s="18">
        <v>3342.39</v>
      </c>
      <c r="H532" s="18"/>
      <c r="I532" s="18"/>
      <c r="J532" s="18"/>
      <c r="K532" s="18"/>
      <c r="L532" s="88">
        <f>SUM(F532:K532)</f>
        <v>16605.849999999999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17684.61</v>
      </c>
      <c r="G533" s="18">
        <v>4456.5200000000004</v>
      </c>
      <c r="H533" s="18"/>
      <c r="I533" s="18"/>
      <c r="J533" s="18"/>
      <c r="K533" s="18"/>
      <c r="L533" s="88">
        <f>SUM(F533:K533)</f>
        <v>22141.13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67791</v>
      </c>
      <c r="G534" s="89">
        <f t="shared" ref="G534:L534" si="38">SUM(G531:G533)</f>
        <v>17083.330000000002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84874.33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2147.21</v>
      </c>
      <c r="G541" s="18">
        <v>1326.04</v>
      </c>
      <c r="H541" s="18">
        <f>649+9500</f>
        <v>10149</v>
      </c>
      <c r="I541" s="18">
        <v>870.15</v>
      </c>
      <c r="J541" s="18"/>
      <c r="K541" s="18"/>
      <c r="L541" s="88">
        <f>SUM(F541:K541)</f>
        <v>14492.4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689.67</v>
      </c>
      <c r="G543" s="18">
        <v>95.52</v>
      </c>
      <c r="H543" s="18">
        <v>99.95</v>
      </c>
      <c r="I543" s="18"/>
      <c r="J543" s="18"/>
      <c r="K543" s="18"/>
      <c r="L543" s="88">
        <f>SUM(F543:K543)</f>
        <v>885.14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2836.88</v>
      </c>
      <c r="G544" s="193">
        <f t="shared" ref="G544:L544" si="40">SUM(G541:G543)</f>
        <v>1421.56</v>
      </c>
      <c r="H544" s="193">
        <f t="shared" si="40"/>
        <v>10248.950000000001</v>
      </c>
      <c r="I544" s="193">
        <f t="shared" si="40"/>
        <v>870.15</v>
      </c>
      <c r="J544" s="193">
        <f t="shared" si="40"/>
        <v>0</v>
      </c>
      <c r="K544" s="193">
        <f t="shared" si="40"/>
        <v>0</v>
      </c>
      <c r="L544" s="193">
        <f t="shared" si="40"/>
        <v>15377.539999999999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468821.46</v>
      </c>
      <c r="G545" s="89">
        <f t="shared" ref="G545:L545" si="41">G524+G529+G534+G539+G544</f>
        <v>210432.34000000003</v>
      </c>
      <c r="H545" s="89">
        <f t="shared" si="41"/>
        <v>424410.94</v>
      </c>
      <c r="I545" s="89">
        <f t="shared" si="41"/>
        <v>4675.45</v>
      </c>
      <c r="J545" s="89">
        <f t="shared" si="41"/>
        <v>517</v>
      </c>
      <c r="K545" s="89">
        <f t="shared" si="41"/>
        <v>549.98</v>
      </c>
      <c r="L545" s="89">
        <f t="shared" si="41"/>
        <v>1109407.17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377298.74999999994</v>
      </c>
      <c r="G549" s="87">
        <f>L526</f>
        <v>179589.66999999998</v>
      </c>
      <c r="H549" s="87">
        <f>L531</f>
        <v>46127.35</v>
      </c>
      <c r="I549" s="87">
        <f>L536</f>
        <v>0</v>
      </c>
      <c r="J549" s="87">
        <f>L541</f>
        <v>14492.4</v>
      </c>
      <c r="K549" s="87">
        <f>SUM(F549:J549)</f>
        <v>617508.16999999993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215516.39</v>
      </c>
      <c r="G550" s="87">
        <f>L527</f>
        <v>43024.32</v>
      </c>
      <c r="H550" s="87">
        <f>L532</f>
        <v>16605.849999999999</v>
      </c>
      <c r="I550" s="87">
        <f>L537</f>
        <v>0</v>
      </c>
      <c r="J550" s="87">
        <f>L542</f>
        <v>0</v>
      </c>
      <c r="K550" s="87">
        <f>SUM(F550:J550)</f>
        <v>275146.56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166621.15</v>
      </c>
      <c r="G551" s="87">
        <f>L528</f>
        <v>27105.02</v>
      </c>
      <c r="H551" s="87">
        <f>L533</f>
        <v>22141.13</v>
      </c>
      <c r="I551" s="87">
        <f>L538</f>
        <v>0</v>
      </c>
      <c r="J551" s="87">
        <f>L543</f>
        <v>885.14</v>
      </c>
      <c r="K551" s="87">
        <f>SUM(F551:J551)</f>
        <v>216752.44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759436.28999999992</v>
      </c>
      <c r="G552" s="89">
        <f t="shared" si="42"/>
        <v>249719.00999999998</v>
      </c>
      <c r="H552" s="89">
        <f t="shared" si="42"/>
        <v>84874.33</v>
      </c>
      <c r="I552" s="89">
        <f t="shared" si="42"/>
        <v>0</v>
      </c>
      <c r="J552" s="89">
        <f t="shared" si="42"/>
        <v>15377.539999999999</v>
      </c>
      <c r="K552" s="89">
        <f t="shared" si="42"/>
        <v>1109407.17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17657.8</v>
      </c>
      <c r="I579" s="87">
        <f t="shared" si="47"/>
        <v>17657.8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3094</v>
      </c>
      <c r="G582" s="18">
        <f>27535.64</f>
        <v>27535.64</v>
      </c>
      <c r="H582" s="18">
        <v>27709.279999999999</v>
      </c>
      <c r="I582" s="87">
        <f t="shared" si="47"/>
        <v>58338.92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>
        <f>37216.44</f>
        <v>37216.44</v>
      </c>
      <c r="H583" s="18"/>
      <c r="I583" s="87">
        <f t="shared" si="47"/>
        <v>37216.44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f>12117.95+11568.27</f>
        <v>23686.22</v>
      </c>
      <c r="I584" s="87">
        <f t="shared" si="47"/>
        <v>23686.22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6520.29+2040.82+53.31+35.88+464.71+575.82+27.43+8.45+28.81+1920.9+35841.55+3000+4279.55</f>
        <v>54797.520000000004</v>
      </c>
      <c r="I591" s="18">
        <f>2069.9+2012.26+48.18+132.78+223.5+2.68+9.15+18735.3+638.51</f>
        <v>23872.26</v>
      </c>
      <c r="J591" s="18">
        <f>26881.15+202.16</f>
        <v>27083.31</v>
      </c>
      <c r="K591" s="104">
        <f t="shared" ref="K591:K597" si="48">SUM(H591:J591)</f>
        <v>105753.09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2147.21+1004.72+27.32+150.75+111.39+19.59+2.78+9.49+649+9500+870.15</f>
        <v>14492.4</v>
      </c>
      <c r="I592" s="18">
        <v>0</v>
      </c>
      <c r="J592" s="18">
        <f>689.67+33.63+0.84+52.61+4.49+0.9+3.05+99.95</f>
        <v>885.14</v>
      </c>
      <c r="K592" s="104">
        <f t="shared" si="48"/>
        <v>15377.539999999999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75328.59</v>
      </c>
      <c r="K593" s="104">
        <f t="shared" si="48"/>
        <v>75328.59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f>431.25+32.96+7642.2</f>
        <v>8106.41</v>
      </c>
      <c r="J594" s="18">
        <v>11873.8</v>
      </c>
      <c r="K594" s="104">
        <f t="shared" si="48"/>
        <v>19980.21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3933</f>
        <v>3933</v>
      </c>
      <c r="I595" s="18">
        <f>1620+123.93+11438.7</f>
        <v>13182.630000000001</v>
      </c>
      <c r="J595" s="18">
        <f>652+49.89+2064.3</f>
        <v>2766.19</v>
      </c>
      <c r="K595" s="104">
        <f t="shared" si="48"/>
        <v>19881.82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73222.92</v>
      </c>
      <c r="I598" s="108">
        <f>SUM(I591:I597)</f>
        <v>45161.3</v>
      </c>
      <c r="J598" s="108">
        <f>SUM(J591:J597)</f>
        <v>117937.03</v>
      </c>
      <c r="K598" s="108">
        <f>SUM(K591:K597)</f>
        <v>236321.24999999997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10629.58+517+701.8+516.6+2836.7+969.64+29985.2</f>
        <v>46156.520000000004</v>
      </c>
      <c r="I604" s="18">
        <f>5197.59+366.85+270.04+2425.45+513.22</f>
        <v>8773.15</v>
      </c>
      <c r="J604" s="18">
        <f>25773.85+119.99+1336.3+387.43+2732.45+1238.62</f>
        <v>31588.639999999999</v>
      </c>
      <c r="K604" s="104">
        <f>SUM(H604:J604)</f>
        <v>86518.31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46156.520000000004</v>
      </c>
      <c r="I605" s="108">
        <f>SUM(I602:I604)</f>
        <v>8773.15</v>
      </c>
      <c r="J605" s="108">
        <f>SUM(J602:J604)</f>
        <v>31588.639999999999</v>
      </c>
      <c r="K605" s="108">
        <f>SUM(K602:K604)</f>
        <v>86518.31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1845+4735.75+4962.5+750</f>
        <v>12293.25</v>
      </c>
      <c r="G611" s="18">
        <f>135.52+80.41+176.29+2.39+8.15+354.15+267.89+319.29+365.31+777.64+57.38+83.78</f>
        <v>2628.2000000000003</v>
      </c>
      <c r="H611" s="18">
        <f>1857+1008.2+1225.7</f>
        <v>4090.8999999999996</v>
      </c>
      <c r="I611" s="18"/>
      <c r="J611" s="18"/>
      <c r="K611" s="18"/>
      <c r="L611" s="88">
        <f>SUM(F611:K611)</f>
        <v>19012.349999999999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1362.5+2895</f>
        <v>4257.5</v>
      </c>
      <c r="G612" s="18">
        <f>96.52+213.51+1.77+6.02+218.83+41.89+235.05</f>
        <v>813.58999999999992</v>
      </c>
      <c r="H612" s="18"/>
      <c r="I612" s="18">
        <f>99</f>
        <v>99</v>
      </c>
      <c r="J612" s="18"/>
      <c r="K612" s="18"/>
      <c r="L612" s="88">
        <f>SUM(F612:K612)</f>
        <v>5170.09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f>125+5661.5</f>
        <v>5786.5</v>
      </c>
      <c r="G613" s="18">
        <f>9.56+0.16+0.55+416.87+25.14+851.91</f>
        <v>1304.19</v>
      </c>
      <c r="H613" s="18">
        <f>468.65</f>
        <v>468.65</v>
      </c>
      <c r="I613" s="18">
        <f>28.79+1416.92+52.95</f>
        <v>1498.66</v>
      </c>
      <c r="J613" s="18"/>
      <c r="K613" s="18"/>
      <c r="L613" s="88">
        <f>SUM(F613:K613)</f>
        <v>9058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22337.25</v>
      </c>
      <c r="G614" s="108">
        <f t="shared" si="49"/>
        <v>4745.9799999999996</v>
      </c>
      <c r="H614" s="108">
        <f t="shared" si="49"/>
        <v>4559.5499999999993</v>
      </c>
      <c r="I614" s="108">
        <f t="shared" si="49"/>
        <v>1597.66</v>
      </c>
      <c r="J614" s="108">
        <f t="shared" si="49"/>
        <v>0</v>
      </c>
      <c r="K614" s="108">
        <f t="shared" si="49"/>
        <v>0</v>
      </c>
      <c r="L614" s="89">
        <f t="shared" si="49"/>
        <v>33240.44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1116093.6599999999</v>
      </c>
      <c r="H617" s="109">
        <f>SUM(F52)</f>
        <v>1116093.6600000001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9043.67</v>
      </c>
      <c r="H618" s="109">
        <f>SUM(G52)</f>
        <v>9043.67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112310.3</v>
      </c>
      <c r="H619" s="109">
        <f>SUM(H52)</f>
        <v>112310.29999999999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251000</v>
      </c>
      <c r="H620" s="109">
        <f>SUM(I52)</f>
        <v>250999.99999999997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382367.85000000003</v>
      </c>
      <c r="H621" s="109">
        <f>SUM(J52)</f>
        <v>382367.85000000003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331001.87</v>
      </c>
      <c r="H622" s="109">
        <f>F476</f>
        <v>331001.87000000011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9043.67</v>
      </c>
      <c r="H623" s="109">
        <f>G476</f>
        <v>9043.6700000000128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5080.93</v>
      </c>
      <c r="H624" s="109">
        <f>H476</f>
        <v>5080.929999999993</v>
      </c>
      <c r="I624" s="121" t="s">
        <v>103</v>
      </c>
      <c r="J624" s="109">
        <f t="shared" si="50"/>
        <v>7.2759576141834259E-12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26302.62</v>
      </c>
      <c r="H625" s="109">
        <f>I476</f>
        <v>26302.619999999995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382367.85000000003</v>
      </c>
      <c r="H626" s="109">
        <f>J476</f>
        <v>382367.85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6743744.0599999996</v>
      </c>
      <c r="H627" s="104">
        <f>SUM(F468)</f>
        <v>6743744.0599999996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155334.44</v>
      </c>
      <c r="H628" s="104">
        <f>SUM(G468)</f>
        <v>155334.44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284573.92</v>
      </c>
      <c r="H629" s="104">
        <f>SUM(H468)</f>
        <v>284573.92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251000</v>
      </c>
      <c r="H630" s="104">
        <f>SUM(I468)</f>
        <v>251000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101112.76</v>
      </c>
      <c r="H631" s="104">
        <f>SUM(J468)</f>
        <v>101112.76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6751907.8399999989</v>
      </c>
      <c r="H632" s="104">
        <f>SUM(F472)</f>
        <v>6751907.8399999999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284573.92000000004</v>
      </c>
      <c r="H633" s="104">
        <f>SUM(H472)</f>
        <v>284573.92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787.08</v>
      </c>
      <c r="H634" s="104">
        <f>I369</f>
        <v>787.08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155334.44</v>
      </c>
      <c r="H635" s="104">
        <f>SUM(G472)</f>
        <v>155334.44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317467.58</v>
      </c>
      <c r="H636" s="104">
        <f>SUM(I472)</f>
        <v>317467.58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101112.75999999998</v>
      </c>
      <c r="H637" s="164">
        <f>SUM(J468)</f>
        <v>101112.76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87311.400000000009</v>
      </c>
      <c r="H638" s="164">
        <f>SUM(J472)</f>
        <v>87311.4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382367.85000000003</v>
      </c>
      <c r="H640" s="104">
        <f>SUM(G461)</f>
        <v>382367.85000000003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382367.85000000003</v>
      </c>
      <c r="H642" s="104">
        <f>SUM(I461)</f>
        <v>382367.85000000003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1112.76</v>
      </c>
      <c r="H644" s="104">
        <f>H408</f>
        <v>1112.76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100000</v>
      </c>
      <c r="H645" s="104">
        <f>G408</f>
        <v>100000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101112.76</v>
      </c>
      <c r="H646" s="104">
        <f>L408</f>
        <v>101112.75999999998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236321.24999999997</v>
      </c>
      <c r="H647" s="104">
        <f>L208+L226+L244</f>
        <v>236321.25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86518.31</v>
      </c>
      <c r="H648" s="104">
        <f>(J257+J338)-(J255+J336)</f>
        <v>86518.31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73222.92</v>
      </c>
      <c r="H649" s="104">
        <f>H598</f>
        <v>73222.92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45161.299999999996</v>
      </c>
      <c r="H650" s="104">
        <f>I598</f>
        <v>45161.3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117937.03</v>
      </c>
      <c r="H651" s="104">
        <f>J598</f>
        <v>117937.03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8723.77</v>
      </c>
      <c r="H652" s="104">
        <f>K263+K345</f>
        <v>8723.77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100000</v>
      </c>
      <c r="H655" s="104">
        <f>K266+K347</f>
        <v>100000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3058171.51</v>
      </c>
      <c r="G660" s="19">
        <f>(L229+L309+L359)</f>
        <v>1552369.1299999997</v>
      </c>
      <c r="H660" s="19">
        <f>(L247+L328+L360)</f>
        <v>2420774.9499999997</v>
      </c>
      <c r="I660" s="19">
        <f>SUM(F660:H660)</f>
        <v>7031315.5899999999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23821.220365914993</v>
      </c>
      <c r="G661" s="19">
        <f>(L359/IF(SUM(L358:L360)=0,1,SUM(L358:L360))*(SUM(G97:G110)))</f>
        <v>13822.434129997187</v>
      </c>
      <c r="H661" s="19">
        <f>(L360/IF(SUM(L358:L360)=0,1,SUM(L358:L360))*(SUM(G97:G110)))</f>
        <v>19855.145504087821</v>
      </c>
      <c r="I661" s="19">
        <f>SUM(F661:H661)</f>
        <v>57498.8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73222.92</v>
      </c>
      <c r="G662" s="19">
        <f>(L226+L306)-(J226+J306)</f>
        <v>45161.299999999996</v>
      </c>
      <c r="H662" s="19">
        <f>(L244+L325)-(J244+J325)</f>
        <v>117937.03</v>
      </c>
      <c r="I662" s="19">
        <f>SUM(F662:H662)</f>
        <v>236321.25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68262.87</v>
      </c>
      <c r="G663" s="199">
        <f>SUM(G575:G587)+SUM(I602:I604)+L612</f>
        <v>78695.319999999992</v>
      </c>
      <c r="H663" s="199">
        <f>SUM(H575:H587)+SUM(J602:J604)+L613</f>
        <v>109699.94</v>
      </c>
      <c r="I663" s="19">
        <f>SUM(F663:H663)</f>
        <v>256658.13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2892864.4996340848</v>
      </c>
      <c r="G664" s="19">
        <f>G660-SUM(G661:G663)</f>
        <v>1414690.0758700024</v>
      </c>
      <c r="H664" s="19">
        <f>H660-SUM(H661:H663)</f>
        <v>2173282.8344959118</v>
      </c>
      <c r="I664" s="19">
        <f>I660-SUM(I661:I663)</f>
        <v>6480837.4100000001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139.63999999999999</v>
      </c>
      <c r="G665" s="248">
        <v>74.08</v>
      </c>
      <c r="H665" s="248">
        <v>90.31</v>
      </c>
      <c r="I665" s="19">
        <f>SUM(F665:H665)</f>
        <v>304.02999999999997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20716.59</v>
      </c>
      <c r="G667" s="19">
        <f>ROUND(G664/G665,2)</f>
        <v>19096.79</v>
      </c>
      <c r="H667" s="19">
        <f>ROUND(H664/H665,2)</f>
        <v>24064.7</v>
      </c>
      <c r="I667" s="19">
        <f>ROUND(I664/I665,2)</f>
        <v>21316.44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-4.78</v>
      </c>
      <c r="I670" s="19">
        <f>SUM(F670:H670)</f>
        <v>-4.78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20716.59</v>
      </c>
      <c r="G672" s="19">
        <f>ROUND((G664+G669)/(G665+G670),2)</f>
        <v>19096.79</v>
      </c>
      <c r="H672" s="19">
        <f>ROUND((H664+H669)/(H665+H670),2)</f>
        <v>25409.599999999999</v>
      </c>
      <c r="I672" s="19">
        <f>ROUND((I664+I669)/(I665+I670),2)</f>
        <v>21656.93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Lincoln-Woodstock Cooperative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2136430.3499999996</v>
      </c>
      <c r="C9" s="229">
        <f>'DOE25'!G197+'DOE25'!G215+'DOE25'!G233+'DOE25'!G276+'DOE25'!G295+'DOE25'!G314</f>
        <v>1117061.0399999998</v>
      </c>
    </row>
    <row r="10" spans="1:3" x14ac:dyDescent="0.2">
      <c r="A10" t="s">
        <v>778</v>
      </c>
      <c r="B10" s="240">
        <f>810923.46+441301.11+714481.99+78843.05-4351.65</f>
        <v>2041197.96</v>
      </c>
      <c r="C10" s="240">
        <f>264557.87+6352.28+957.72+279.61+60371.45+3534.39+124161.64+1050.94+3582.78+131099.27+3537.84+500.6+145.64+32062.34+68872.23+571.92+1949.73+207459.41+4301.68+1022.58+208+53250.04+581.09+107629.67+925.95+3156.69+16245.84+732.06+5800.76+486.07+11672.95-3218.39-6952.38</f>
        <v>1106890.2700000003</v>
      </c>
    </row>
    <row r="11" spans="1:3" x14ac:dyDescent="0.2">
      <c r="A11" t="s">
        <v>779</v>
      </c>
      <c r="B11" s="240">
        <v>4351.6499999999996</v>
      </c>
      <c r="C11" s="240">
        <f>2320.86+104.58+306.88+486.07</f>
        <v>3218.3900000000003</v>
      </c>
    </row>
    <row r="12" spans="1:3" x14ac:dyDescent="0.2">
      <c r="A12" t="s">
        <v>780</v>
      </c>
      <c r="B12" s="240">
        <f>53634.88+6850.45+30395.41</f>
        <v>90880.739999999991</v>
      </c>
      <c r="C12" s="240">
        <v>6952.38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2136430.3499999996</v>
      </c>
      <c r="C13" s="231">
        <f>SUM(C10:C12)</f>
        <v>1117061.04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381290.62</v>
      </c>
      <c r="C18" s="229">
        <f>'DOE25'!G198+'DOE25'!G216+'DOE25'!G234+'DOE25'!G277+'DOE25'!G296+'DOE25'!G315</f>
        <v>175937.65999999997</v>
      </c>
    </row>
    <row r="19" spans="1:3" x14ac:dyDescent="0.2">
      <c r="A19" t="s">
        <v>778</v>
      </c>
      <c r="B19" s="240">
        <f>198637.02+81626.64+83980.4+1845+1362.5+125+2000-110988.93</f>
        <v>258587.62999999995</v>
      </c>
      <c r="C19" s="240">
        <f>58138.04+1546.16+186.96+14502.71+19176.33+257.43+877.61+22322.94+390.18+89.7+5879.44+9756.52+105.79+360.64+12647.09+798.94+144.66+6653.72+7748.25+108.84+371.04+135.52+80.41+176.29+2.39+8.15+96.52+213.51+1.77+6.02+9.56+0.16+0.55+131.34+100.53+172.37-896.13-8490.65-56680</f>
        <v>97131.299999999988</v>
      </c>
    </row>
    <row r="20" spans="1:3" x14ac:dyDescent="0.2">
      <c r="A20" t="s">
        <v>779</v>
      </c>
      <c r="B20" s="240">
        <v>110988.93</v>
      </c>
      <c r="C20" s="240">
        <f>8518.21+2162.92+2058.45+8490.65+56680</f>
        <v>77910.23</v>
      </c>
    </row>
    <row r="21" spans="1:3" x14ac:dyDescent="0.2">
      <c r="A21" t="s">
        <v>780</v>
      </c>
      <c r="B21" s="240">
        <f>9201.56+1312.5+1200</f>
        <v>11714.06</v>
      </c>
      <c r="C21" s="240">
        <v>896.13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381290.61999999994</v>
      </c>
      <c r="C22" s="231">
        <f>SUM(C19:C21)</f>
        <v>175937.65999999997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75919.739999999991</v>
      </c>
      <c r="C36" s="235">
        <f>'DOE25'!G200+'DOE25'!G218+'DOE25'!G236+'DOE25'!G279+'DOE25'!G298+'DOE25'!G317</f>
        <v>13490.230000000001</v>
      </c>
    </row>
    <row r="37" spans="1:3" x14ac:dyDescent="0.2">
      <c r="A37" t="s">
        <v>778</v>
      </c>
      <c r="B37" s="240">
        <f>4735.75+2895+5661.5+4962.5</f>
        <v>18254.75</v>
      </c>
      <c r="C37" s="240">
        <f>354.15+267.89+319.29+218.83+41.89+235.05+416.87+25.14+851.91+365.31+777.64</f>
        <v>3873.97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f>664+11252+45748.99</f>
        <v>57664.99</v>
      </c>
      <c r="C39" s="240">
        <f>47.03+104.05+923.41+990.68+15.44+52.64+45+3437.92+452.37+3061.3+59.29+202.13+225</f>
        <v>9616.26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75919.739999999991</v>
      </c>
      <c r="C40" s="231">
        <f>SUM(C37:C39)</f>
        <v>13490.23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Lincoln-Woodstock Cooperative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4186485.5</v>
      </c>
      <c r="D5" s="20">
        <f>SUM('DOE25'!L197:L200)+SUM('DOE25'!L215:L218)+SUM('DOE25'!L233:L236)-F5-G5</f>
        <v>4130283.94</v>
      </c>
      <c r="E5" s="243"/>
      <c r="F5" s="255">
        <f>SUM('DOE25'!J197:J200)+SUM('DOE25'!J215:J218)+SUM('DOE25'!J233:J236)</f>
        <v>42499.520000000004</v>
      </c>
      <c r="G5" s="53">
        <f>SUM('DOE25'!K197:K200)+SUM('DOE25'!K215:K218)+SUM('DOE25'!K233:K236)</f>
        <v>13702.039999999999</v>
      </c>
      <c r="H5" s="259"/>
    </row>
    <row r="6" spans="1:9" x14ac:dyDescent="0.2">
      <c r="A6" s="32">
        <v>2100</v>
      </c>
      <c r="B6" t="s">
        <v>800</v>
      </c>
      <c r="C6" s="245">
        <f t="shared" si="0"/>
        <v>568859.53999999992</v>
      </c>
      <c r="D6" s="20">
        <f>'DOE25'!L202+'DOE25'!L220+'DOE25'!L238-F6-G6</f>
        <v>566895.55999999994</v>
      </c>
      <c r="E6" s="243"/>
      <c r="F6" s="255">
        <f>'DOE25'!J202+'DOE25'!J220+'DOE25'!J238</f>
        <v>1714.98</v>
      </c>
      <c r="G6" s="53">
        <f>'DOE25'!K202+'DOE25'!K220+'DOE25'!K238</f>
        <v>249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169430.03999999998</v>
      </c>
      <c r="D7" s="20">
        <f>'DOE25'!L203+'DOE25'!L221+'DOE25'!L239-F7-G7</f>
        <v>168620.08</v>
      </c>
      <c r="E7" s="243"/>
      <c r="F7" s="255">
        <f>'DOE25'!J203+'DOE25'!J221+'DOE25'!J239</f>
        <v>809.96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397737.18000000011</v>
      </c>
      <c r="D8" s="243"/>
      <c r="E8" s="20">
        <f>'DOE25'!L204+'DOE25'!L222+'DOE25'!L240-F8-G8-D9-D11</f>
        <v>389154.9200000001</v>
      </c>
      <c r="F8" s="255">
        <f>'DOE25'!J204+'DOE25'!J222+'DOE25'!J240</f>
        <v>1174.0700000000002</v>
      </c>
      <c r="G8" s="53">
        <f>'DOE25'!K204+'DOE25'!K222+'DOE25'!K240</f>
        <v>7408.1900000000005</v>
      </c>
      <c r="H8" s="259"/>
    </row>
    <row r="9" spans="1:9" x14ac:dyDescent="0.2">
      <c r="A9" s="32">
        <v>2310</v>
      </c>
      <c r="B9" t="s">
        <v>817</v>
      </c>
      <c r="C9" s="245">
        <f t="shared" si="0"/>
        <v>13810.36</v>
      </c>
      <c r="D9" s="244">
        <v>13810.36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10350</v>
      </c>
      <c r="D10" s="243"/>
      <c r="E10" s="244">
        <v>10350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170421.8</v>
      </c>
      <c r="D11" s="244">
        <f>126689.89+43731.91</f>
        <v>170421.8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364793.66000000003</v>
      </c>
      <c r="D12" s="20">
        <f>'DOE25'!L205+'DOE25'!L223+'DOE25'!L241-F12-G12</f>
        <v>359763.66000000003</v>
      </c>
      <c r="E12" s="243"/>
      <c r="F12" s="255">
        <f>'DOE25'!J205+'DOE25'!J223+'DOE25'!J241</f>
        <v>0</v>
      </c>
      <c r="G12" s="53">
        <f>'DOE25'!K205+'DOE25'!K223+'DOE25'!K241</f>
        <v>5030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482983.89999999997</v>
      </c>
      <c r="D14" s="20">
        <f>'DOE25'!L207+'DOE25'!L225+'DOE25'!L243-F14-G14</f>
        <v>421518.79999999993</v>
      </c>
      <c r="E14" s="243"/>
      <c r="F14" s="255">
        <f>'DOE25'!J207+'DOE25'!J225+'DOE25'!J243</f>
        <v>10334.58</v>
      </c>
      <c r="G14" s="53">
        <f>'DOE25'!K207+'DOE25'!K225+'DOE25'!K243</f>
        <v>51130.520000000004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236321.25</v>
      </c>
      <c r="D15" s="20">
        <f>'DOE25'!L208+'DOE25'!L226+'DOE25'!L244-F15-G15</f>
        <v>236321.25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564</v>
      </c>
      <c r="D16" s="243"/>
      <c r="E16" s="20">
        <f>'DOE25'!L209+'DOE25'!L227+'DOE25'!L245-F16-G16</f>
        <v>564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155334.44</v>
      </c>
      <c r="D29" s="20">
        <f>'DOE25'!L358+'DOE25'!L359+'DOE25'!L360-'DOE25'!I367-F29-G29</f>
        <v>161301.91</v>
      </c>
      <c r="E29" s="243"/>
      <c r="F29" s="255">
        <f>'DOE25'!J358+'DOE25'!J359+'DOE25'!J360</f>
        <v>1014.49</v>
      </c>
      <c r="G29" s="53">
        <f>'DOE25'!K358+'DOE25'!K359+'DOE25'!K360</f>
        <v>-6981.96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284573.92000000004</v>
      </c>
      <c r="D31" s="20">
        <f>'DOE25'!L290+'DOE25'!L309+'DOE25'!L328+'DOE25'!L333+'DOE25'!L334+'DOE25'!L335-F31-G31</f>
        <v>247198.72000000003</v>
      </c>
      <c r="E31" s="243"/>
      <c r="F31" s="255">
        <f>'DOE25'!J290+'DOE25'!J309+'DOE25'!J328+'DOE25'!J333+'DOE25'!J334+'DOE25'!J335</f>
        <v>29985.200000000001</v>
      </c>
      <c r="G31" s="53">
        <f>'DOE25'!K290+'DOE25'!K309+'DOE25'!K328+'DOE25'!K333+'DOE25'!K334+'DOE25'!K335</f>
        <v>7390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6476136.0800000001</v>
      </c>
      <c r="E33" s="246">
        <f>SUM(E5:E31)</f>
        <v>400068.9200000001</v>
      </c>
      <c r="F33" s="246">
        <f>SUM(F5:F31)</f>
        <v>87532.800000000003</v>
      </c>
      <c r="G33" s="246">
        <f>SUM(G5:G31)</f>
        <v>77927.789999999994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400068.9200000001</v>
      </c>
      <c r="E35" s="249"/>
    </row>
    <row r="36" spans="2:8" ht="12" thickTop="1" x14ac:dyDescent="0.2">
      <c r="B36" t="s">
        <v>814</v>
      </c>
      <c r="D36" s="20">
        <f>D33</f>
        <v>6476136.0800000001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Lincoln-Woodstock Cooperative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702811.43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382367.85000000003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408313.9599999999</v>
      </c>
      <c r="D11" s="95">
        <f>'DOE25'!G12</f>
        <v>611.87</v>
      </c>
      <c r="E11" s="95">
        <f>'DOE25'!H12</f>
        <v>29979.31</v>
      </c>
      <c r="F11" s="95">
        <f>'DOE25'!I12</f>
        <v>251000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3692</v>
      </c>
      <c r="E12" s="95">
        <f>'DOE25'!H13</f>
        <v>82330.990000000005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4968.2700000000004</v>
      </c>
      <c r="D13" s="95">
        <f>'DOE25'!G14</f>
        <v>4739.8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1116093.6599999999</v>
      </c>
      <c r="D18" s="41">
        <f>SUM(D8:D17)</f>
        <v>9043.67</v>
      </c>
      <c r="E18" s="41">
        <f>SUM(E8:E17)</f>
        <v>112310.3</v>
      </c>
      <c r="F18" s="41">
        <f>SUM(F8:F17)</f>
        <v>251000</v>
      </c>
      <c r="G18" s="41">
        <f>SUM(G8:G17)</f>
        <v>382367.85000000003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507129.43</v>
      </c>
      <c r="D21" s="95">
        <f>'DOE25'!G22</f>
        <v>0</v>
      </c>
      <c r="E21" s="95">
        <f>'DOE25'!H22</f>
        <v>97279.85</v>
      </c>
      <c r="F21" s="95">
        <f>'DOE25'!I22</f>
        <v>224697.37999999998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11446.45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264365.90999999997</v>
      </c>
      <c r="D27" s="95">
        <f>'DOE25'!G28</f>
        <v>0</v>
      </c>
      <c r="E27" s="95">
        <f>'DOE25'!H28</f>
        <v>8892.48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2150</v>
      </c>
      <c r="D29" s="95">
        <f>'DOE25'!G30</f>
        <v>0</v>
      </c>
      <c r="E29" s="95">
        <f>'DOE25'!H30</f>
        <v>1057.04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785091.79</v>
      </c>
      <c r="D31" s="41">
        <f>SUM(D21:D30)</f>
        <v>0</v>
      </c>
      <c r="E31" s="41">
        <f>SUM(E21:E30)</f>
        <v>107229.37</v>
      </c>
      <c r="F31" s="41">
        <f>SUM(F21:F30)</f>
        <v>224697.37999999998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8446.11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100000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22889.42</v>
      </c>
      <c r="G47" s="95">
        <f>'DOE25'!J48</f>
        <v>382367.85000000003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54182.67</v>
      </c>
      <c r="D48" s="95">
        <f>'DOE25'!G49</f>
        <v>597.55999999999995</v>
      </c>
      <c r="E48" s="95">
        <f>'DOE25'!H49</f>
        <v>5080.93</v>
      </c>
      <c r="F48" s="95">
        <f>'DOE25'!I49</f>
        <v>3413.2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76819.200000000012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331001.87</v>
      </c>
      <c r="D50" s="41">
        <f>SUM(D34:D49)</f>
        <v>9043.67</v>
      </c>
      <c r="E50" s="41">
        <f>SUM(E34:E49)</f>
        <v>5080.93</v>
      </c>
      <c r="F50" s="41">
        <f>SUM(F34:F49)</f>
        <v>26302.62</v>
      </c>
      <c r="G50" s="41">
        <f>SUM(G34:G49)</f>
        <v>382367.85000000003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1116093.6600000001</v>
      </c>
      <c r="D51" s="41">
        <f>D50+D31</f>
        <v>9043.67</v>
      </c>
      <c r="E51" s="41">
        <f>E50+E31</f>
        <v>112310.29999999999</v>
      </c>
      <c r="F51" s="41">
        <f>F50+F31</f>
        <v>250999.99999999997</v>
      </c>
      <c r="G51" s="41">
        <f>G50+G31</f>
        <v>382367.85000000003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3779987</v>
      </c>
      <c r="D56" s="95">
        <f>'DOE25'!G60</f>
        <v>0</v>
      </c>
      <c r="E56" s="95">
        <f>'DOE25'!H60</f>
        <v>0</v>
      </c>
      <c r="F56" s="95">
        <f>'DOE25'!I60</f>
        <v>251000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14375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4.2699999999999996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1112.76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57498.8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6098.01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20477.28</v>
      </c>
      <c r="D62" s="130">
        <f>SUM(D57:D61)</f>
        <v>57498.8</v>
      </c>
      <c r="E62" s="130">
        <f>SUM(E57:E61)</f>
        <v>0</v>
      </c>
      <c r="F62" s="130">
        <f>SUM(F57:F61)</f>
        <v>0</v>
      </c>
      <c r="G62" s="130">
        <f>SUM(G57:G61)</f>
        <v>1112.76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3800464.28</v>
      </c>
      <c r="D63" s="22">
        <f>D56+D62</f>
        <v>57498.8</v>
      </c>
      <c r="E63" s="22">
        <f>E56+E62</f>
        <v>0</v>
      </c>
      <c r="F63" s="22">
        <f>F56+F62</f>
        <v>251000</v>
      </c>
      <c r="G63" s="22">
        <f>G56+G62</f>
        <v>1112.76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339470.61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2444868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1015.41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2785354.02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48709.86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16278.4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1751.4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64988.26</v>
      </c>
      <c r="D78" s="130">
        <f>SUM(D72:D77)</f>
        <v>1751.4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2850342.28</v>
      </c>
      <c r="D81" s="130">
        <f>SUM(D79:D80)+D78+D70</f>
        <v>1751.4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6981.96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43524.1</v>
      </c>
      <c r="D88" s="95">
        <f>SUM('DOE25'!G153:G161)</f>
        <v>87360.47</v>
      </c>
      <c r="E88" s="95">
        <f>SUM('DOE25'!H153:H161)</f>
        <v>277591.95999999996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49413.4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92937.5</v>
      </c>
      <c r="D91" s="131">
        <f>SUM(D85:D90)</f>
        <v>87360.47</v>
      </c>
      <c r="E91" s="131">
        <f>SUM(E85:E90)</f>
        <v>284573.92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8723.77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8723.77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764</v>
      </c>
      <c r="C104" s="86">
        <f>C63+C81+C91+C103</f>
        <v>6743744.0599999996</v>
      </c>
      <c r="D104" s="86">
        <f>D63+D81+D91+D103</f>
        <v>155334.44</v>
      </c>
      <c r="E104" s="86">
        <f>E63+E81+E91+E103</f>
        <v>284573.92</v>
      </c>
      <c r="F104" s="86">
        <f>F63+F81+F91+F103</f>
        <v>251000</v>
      </c>
      <c r="G104" s="86">
        <f>G63+G81+G103</f>
        <v>101112.76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3348552.5999999996</v>
      </c>
      <c r="D109" s="24" t="s">
        <v>288</v>
      </c>
      <c r="E109" s="95">
        <f>('DOE25'!L276)+('DOE25'!L295)+('DOE25'!L314)</f>
        <v>165069.13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704765.17</v>
      </c>
      <c r="D110" s="24" t="s">
        <v>288</v>
      </c>
      <c r="E110" s="95">
        <f>('DOE25'!L277)+('DOE25'!L296)+('DOE25'!L315)</f>
        <v>58796.39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12117.95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121049.78</v>
      </c>
      <c r="D112" s="24" t="s">
        <v>288</v>
      </c>
      <c r="E112" s="95">
        <f>+('DOE25'!L279)+('DOE25'!L298)+('DOE25'!L317)</f>
        <v>6105.45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4186485.4999999995</v>
      </c>
      <c r="D115" s="86">
        <f>SUM(D109:D114)</f>
        <v>0</v>
      </c>
      <c r="E115" s="86">
        <f>SUM(E109:E114)</f>
        <v>229970.97000000003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568859.53999999992</v>
      </c>
      <c r="D118" s="24" t="s">
        <v>288</v>
      </c>
      <c r="E118" s="95">
        <f>+('DOE25'!L281)+('DOE25'!L300)+('DOE25'!L319)</f>
        <v>17814.95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169430.03999999998</v>
      </c>
      <c r="D119" s="24" t="s">
        <v>288</v>
      </c>
      <c r="E119" s="95">
        <f>+('DOE25'!L282)+('DOE25'!L301)+('DOE25'!L320)</f>
        <v>36788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581969.34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364793.66000000003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482983.89999999997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236321.25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564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155334.44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2404921.73</v>
      </c>
      <c r="D128" s="86">
        <f>SUM(D118:D127)</f>
        <v>155334.44</v>
      </c>
      <c r="E128" s="86">
        <f>SUM(E118:E127)</f>
        <v>54602.95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317467.58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250</v>
      </c>
    </row>
    <row r="135" spans="1:7" x14ac:dyDescent="0.2">
      <c r="A135" t="s">
        <v>233</v>
      </c>
      <c r="B135" s="32" t="s">
        <v>234</v>
      </c>
      <c r="C135" s="95">
        <f>'DOE25'!L263</f>
        <v>8723.77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101112.75999999998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-1112.7599999999802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51776.84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160500.60999999999</v>
      </c>
      <c r="D144" s="141">
        <f>SUM(D130:D143)</f>
        <v>0</v>
      </c>
      <c r="E144" s="141">
        <f>SUM(E130:E143)</f>
        <v>0</v>
      </c>
      <c r="F144" s="141">
        <f>SUM(F130:F143)</f>
        <v>317467.58</v>
      </c>
      <c r="G144" s="141">
        <f>SUM(G130:G143)</f>
        <v>250</v>
      </c>
    </row>
    <row r="145" spans="1:9" ht="12.75" thickTop="1" thickBot="1" x14ac:dyDescent="0.25">
      <c r="A145" s="33" t="s">
        <v>244</v>
      </c>
      <c r="C145" s="86">
        <f>(C115+C128+C144)</f>
        <v>6751907.8399999999</v>
      </c>
      <c r="D145" s="86">
        <f>(D115+D128+D144)</f>
        <v>155334.44</v>
      </c>
      <c r="E145" s="86">
        <f>(E115+E128+E144)</f>
        <v>284573.92000000004</v>
      </c>
      <c r="F145" s="86">
        <f>(F115+F128+F144)</f>
        <v>317467.58</v>
      </c>
      <c r="G145" s="86">
        <f>(G115+G128+G144)</f>
        <v>250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Lincoln-Woodstock Cooperative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20717</v>
      </c>
    </row>
    <row r="5" spans="1:4" x14ac:dyDescent="0.2">
      <c r="B5" t="s">
        <v>703</v>
      </c>
      <c r="C5" s="179">
        <f>IF('DOE25'!G665+'DOE25'!G670=0,0,ROUND('DOE25'!G672,0))</f>
        <v>19097</v>
      </c>
    </row>
    <row r="6" spans="1:4" x14ac:dyDescent="0.2">
      <c r="B6" t="s">
        <v>62</v>
      </c>
      <c r="C6" s="179">
        <f>IF('DOE25'!H665+'DOE25'!H670=0,0,ROUND('DOE25'!H672,0))</f>
        <v>25410</v>
      </c>
    </row>
    <row r="7" spans="1:4" x14ac:dyDescent="0.2">
      <c r="B7" t="s">
        <v>704</v>
      </c>
      <c r="C7" s="179">
        <f>IF('DOE25'!I665+'DOE25'!I670=0,0,ROUND('DOE25'!I672,0))</f>
        <v>21657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3513622</v>
      </c>
      <c r="D10" s="182">
        <f>ROUND((C10/$C$28)*100,1)</f>
        <v>50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763562</v>
      </c>
      <c r="D11" s="182">
        <f>ROUND((C11/$C$28)*100,1)</f>
        <v>10.9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12118</v>
      </c>
      <c r="D12" s="182">
        <f>ROUND((C12/$C$28)*100,1)</f>
        <v>0.2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127155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586674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206218</v>
      </c>
      <c r="D16" s="182">
        <f t="shared" si="0"/>
        <v>2.9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582533</v>
      </c>
      <c r="D17" s="182">
        <f t="shared" si="0"/>
        <v>8.3000000000000007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364794</v>
      </c>
      <c r="D18" s="182">
        <f t="shared" si="0"/>
        <v>5.2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482984</v>
      </c>
      <c r="D20" s="182">
        <f t="shared" si="0"/>
        <v>6.9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236321</v>
      </c>
      <c r="D21" s="182">
        <f t="shared" si="0"/>
        <v>3.4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51776.84</v>
      </c>
      <c r="D26" s="182">
        <f t="shared" si="0"/>
        <v>0.7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97835.199999999997</v>
      </c>
      <c r="D27" s="182">
        <f t="shared" si="0"/>
        <v>1.4</v>
      </c>
    </row>
    <row r="28" spans="1:4" x14ac:dyDescent="0.2">
      <c r="B28" s="187" t="s">
        <v>722</v>
      </c>
      <c r="C28" s="180">
        <f>SUM(C10:C27)</f>
        <v>7025593.04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317468</v>
      </c>
    </row>
    <row r="30" spans="1:4" x14ac:dyDescent="0.2">
      <c r="B30" s="187" t="s">
        <v>728</v>
      </c>
      <c r="C30" s="180">
        <f>SUM(C28:C29)</f>
        <v>7343061.04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4030987</v>
      </c>
      <c r="D35" s="182">
        <f t="shared" ref="D35:D40" si="1">ROUND((C35/$C$41)*100,1)</f>
        <v>54.7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21590.039999999572</v>
      </c>
      <c r="D36" s="182">
        <f t="shared" si="1"/>
        <v>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2784339</v>
      </c>
      <c r="D37" s="182">
        <f t="shared" si="1"/>
        <v>37.799999999999997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67755</v>
      </c>
      <c r="D38" s="182">
        <f t="shared" si="1"/>
        <v>0.9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464872</v>
      </c>
      <c r="D39" s="182">
        <f t="shared" si="1"/>
        <v>6.3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7369543.0399999991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4" sqref="C14:M1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Lincoln-Woodstock Cooperative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5</v>
      </c>
      <c r="B4" s="219">
        <v>2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2017-09-08T18:21:23Z</cp:lastPrinted>
  <dcterms:created xsi:type="dcterms:W3CDTF">1997-12-04T19:04:30Z</dcterms:created>
  <dcterms:modified xsi:type="dcterms:W3CDTF">2017-11-29T17:35:32Z</dcterms:modified>
</cp:coreProperties>
</file>