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19740" windowHeight="841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9" i="10" s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D7" i="13" s="1"/>
  <c r="C7" i="13" s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C124" i="2" s="1"/>
  <c r="F17" i="13"/>
  <c r="G17" i="13"/>
  <c r="L251" i="1"/>
  <c r="F18" i="13"/>
  <c r="D18" i="13" s="1"/>
  <c r="C18" i="13" s="1"/>
  <c r="G18" i="13"/>
  <c r="L252" i="1"/>
  <c r="F19" i="13"/>
  <c r="G19" i="13"/>
  <c r="D19" i="13" s="1"/>
  <c r="C19" i="13" s="1"/>
  <c r="L253" i="1"/>
  <c r="F29" i="13"/>
  <c r="G29" i="13"/>
  <c r="L358" i="1"/>
  <c r="L359" i="1"/>
  <c r="D127" i="2" s="1"/>
  <c r="D128" i="2" s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C13" i="10" s="1"/>
  <c r="L319" i="1"/>
  <c r="L320" i="1"/>
  <c r="E119" i="2" s="1"/>
  <c r="L321" i="1"/>
  <c r="L322" i="1"/>
  <c r="L323" i="1"/>
  <c r="L324" i="1"/>
  <c r="L325" i="1"/>
  <c r="L326" i="1"/>
  <c r="L333" i="1"/>
  <c r="L334" i="1"/>
  <c r="L335" i="1"/>
  <c r="E114" i="2" s="1"/>
  <c r="L260" i="1"/>
  <c r="L261" i="1"/>
  <c r="L341" i="1"/>
  <c r="L342" i="1"/>
  <c r="C25" i="10" s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E56" i="2" s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2" i="1"/>
  <c r="G147" i="1"/>
  <c r="G162" i="1"/>
  <c r="H147" i="1"/>
  <c r="H162" i="1"/>
  <c r="I147" i="1"/>
  <c r="I162" i="1"/>
  <c r="L250" i="1"/>
  <c r="L332" i="1"/>
  <c r="L254" i="1"/>
  <c r="L268" i="1"/>
  <c r="L269" i="1"/>
  <c r="L349" i="1"/>
  <c r="L350" i="1"/>
  <c r="I665" i="1"/>
  <c r="I670" i="1"/>
  <c r="F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L270" i="1" s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F78" i="2" s="1"/>
  <c r="F81" i="2" s="1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2" i="2"/>
  <c r="C113" i="2"/>
  <c r="E113" i="2"/>
  <c r="C114" i="2"/>
  <c r="D115" i="2"/>
  <c r="F115" i="2"/>
  <c r="G115" i="2"/>
  <c r="E118" i="2"/>
  <c r="E121" i="2"/>
  <c r="C122" i="2"/>
  <c r="E122" i="2"/>
  <c r="E123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F192" i="1" s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F408" i="1"/>
  <c r="H643" i="1" s="1"/>
  <c r="G408" i="1"/>
  <c r="H645" i="1" s="1"/>
  <c r="H408" i="1"/>
  <c r="H644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G460" i="1"/>
  <c r="G461" i="1" s="1"/>
  <c r="H640" i="1" s="1"/>
  <c r="H460" i="1"/>
  <c r="F461" i="1"/>
  <c r="H639" i="1" s="1"/>
  <c r="H461" i="1"/>
  <c r="H641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J545" i="1" s="1"/>
  <c r="K534" i="1"/>
  <c r="K545" i="1" s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J571" i="1" s="1"/>
  <c r="K560" i="1"/>
  <c r="K571" i="1" s="1"/>
  <c r="L562" i="1"/>
  <c r="L565" i="1" s="1"/>
  <c r="L563" i="1"/>
  <c r="L564" i="1"/>
  <c r="F565" i="1"/>
  <c r="G565" i="1"/>
  <c r="H565" i="1"/>
  <c r="I565" i="1"/>
  <c r="I571" i="1" s="1"/>
  <c r="J565" i="1"/>
  <c r="K565" i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J617" i="1" s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G641" i="1"/>
  <c r="G643" i="1"/>
  <c r="J643" i="1" s="1"/>
  <c r="G644" i="1"/>
  <c r="G645" i="1"/>
  <c r="G649" i="1"/>
  <c r="J649" i="1" s="1"/>
  <c r="G650" i="1"/>
  <c r="G652" i="1"/>
  <c r="H652" i="1"/>
  <c r="G653" i="1"/>
  <c r="H653" i="1"/>
  <c r="G654" i="1"/>
  <c r="H654" i="1"/>
  <c r="H655" i="1"/>
  <c r="J655" i="1" s="1"/>
  <c r="C26" i="10"/>
  <c r="D17" i="13"/>
  <c r="C17" i="13" s="1"/>
  <c r="D6" i="13"/>
  <c r="C6" i="13" s="1"/>
  <c r="C91" i="2"/>
  <c r="D31" i="2"/>
  <c r="F18" i="2"/>
  <c r="E103" i="2"/>
  <c r="E62" i="2"/>
  <c r="E31" i="2"/>
  <c r="G62" i="2"/>
  <c r="E13" i="13"/>
  <c r="C13" i="13" s="1"/>
  <c r="E78" i="2"/>
  <c r="L433" i="1"/>
  <c r="I169" i="1"/>
  <c r="H169" i="1"/>
  <c r="J476" i="1"/>
  <c r="H626" i="1" s="1"/>
  <c r="I476" i="1"/>
  <c r="H625" i="1" s="1"/>
  <c r="J625" i="1" s="1"/>
  <c r="F169" i="1"/>
  <c r="J140" i="1"/>
  <c r="F571" i="1"/>
  <c r="C29" i="10"/>
  <c r="L393" i="1"/>
  <c r="C138" i="2" s="1"/>
  <c r="F22" i="13"/>
  <c r="H338" i="1"/>
  <c r="H352" i="1" s="1"/>
  <c r="H192" i="1"/>
  <c r="C35" i="10"/>
  <c r="J636" i="1"/>
  <c r="G36" i="2"/>
  <c r="C22" i="13"/>
  <c r="C78" i="2" l="1"/>
  <c r="C18" i="2"/>
  <c r="K549" i="1"/>
  <c r="I552" i="1"/>
  <c r="L539" i="1"/>
  <c r="H552" i="1"/>
  <c r="L534" i="1"/>
  <c r="F552" i="1"/>
  <c r="A40" i="12"/>
  <c r="A31" i="12"/>
  <c r="H661" i="1"/>
  <c r="J645" i="1"/>
  <c r="J644" i="1"/>
  <c r="K605" i="1"/>
  <c r="G648" i="1" s="1"/>
  <c r="K598" i="1"/>
  <c r="G647" i="1" s="1"/>
  <c r="I545" i="1"/>
  <c r="K551" i="1"/>
  <c r="H545" i="1"/>
  <c r="G545" i="1"/>
  <c r="L544" i="1"/>
  <c r="J552" i="1"/>
  <c r="K503" i="1"/>
  <c r="G164" i="2"/>
  <c r="G161" i="2"/>
  <c r="G156" i="2"/>
  <c r="G476" i="1"/>
  <c r="H623" i="1" s="1"/>
  <c r="J623" i="1" s="1"/>
  <c r="H476" i="1"/>
  <c r="H624" i="1" s="1"/>
  <c r="J624" i="1" s="1"/>
  <c r="F476" i="1"/>
  <c r="H622" i="1" s="1"/>
  <c r="J622" i="1" s="1"/>
  <c r="J639" i="1"/>
  <c r="I446" i="1"/>
  <c r="G642" i="1" s="1"/>
  <c r="L401" i="1"/>
  <c r="C139" i="2" s="1"/>
  <c r="E112" i="2"/>
  <c r="E120" i="2"/>
  <c r="E128" i="2" s="1"/>
  <c r="K338" i="1"/>
  <c r="K352" i="1" s="1"/>
  <c r="L309" i="1"/>
  <c r="F338" i="1"/>
  <c r="F352" i="1" s="1"/>
  <c r="L290" i="1"/>
  <c r="J338" i="1"/>
  <c r="J352" i="1" s="1"/>
  <c r="L328" i="1"/>
  <c r="G338" i="1"/>
  <c r="G352" i="1" s="1"/>
  <c r="E8" i="13"/>
  <c r="C8" i="13" s="1"/>
  <c r="C120" i="2"/>
  <c r="D15" i="13"/>
  <c r="C15" i="13" s="1"/>
  <c r="L247" i="1"/>
  <c r="C12" i="10"/>
  <c r="C11" i="10"/>
  <c r="C10" i="10"/>
  <c r="C110" i="2"/>
  <c r="C118" i="2"/>
  <c r="I257" i="1"/>
  <c r="I271" i="1" s="1"/>
  <c r="D12" i="13"/>
  <c r="C12" i="13" s="1"/>
  <c r="C121" i="2"/>
  <c r="L229" i="1"/>
  <c r="C20" i="10"/>
  <c r="H257" i="1"/>
  <c r="H271" i="1" s="1"/>
  <c r="J257" i="1"/>
  <c r="J271" i="1" s="1"/>
  <c r="E16" i="13"/>
  <c r="C17" i="10"/>
  <c r="C21" i="10"/>
  <c r="C123" i="2"/>
  <c r="D14" i="13"/>
  <c r="C14" i="13" s="1"/>
  <c r="C18" i="10"/>
  <c r="G257" i="1"/>
  <c r="G271" i="1" s="1"/>
  <c r="K257" i="1"/>
  <c r="K271" i="1" s="1"/>
  <c r="C16" i="10"/>
  <c r="C15" i="10"/>
  <c r="D5" i="13"/>
  <c r="C5" i="13" s="1"/>
  <c r="C109" i="2"/>
  <c r="C115" i="2" s="1"/>
  <c r="F257" i="1"/>
  <c r="F271" i="1" s="1"/>
  <c r="D91" i="2"/>
  <c r="D81" i="2"/>
  <c r="F112" i="1"/>
  <c r="C36" i="10" s="1"/>
  <c r="C70" i="2"/>
  <c r="C81" i="2" s="1"/>
  <c r="D18" i="2"/>
  <c r="J640" i="1"/>
  <c r="J641" i="1"/>
  <c r="K550" i="1"/>
  <c r="G552" i="1"/>
  <c r="H112" i="1"/>
  <c r="D29" i="13"/>
  <c r="C29" i="13" s="1"/>
  <c r="G651" i="1"/>
  <c r="J651" i="1" s="1"/>
  <c r="G624" i="1"/>
  <c r="K500" i="1"/>
  <c r="I460" i="1"/>
  <c r="I452" i="1"/>
  <c r="D145" i="2"/>
  <c r="C125" i="2"/>
  <c r="C119" i="2"/>
  <c r="E132" i="2"/>
  <c r="H662" i="1"/>
  <c r="I662" i="1" s="1"/>
  <c r="G661" i="1"/>
  <c r="L211" i="1"/>
  <c r="L362" i="1"/>
  <c r="G635" i="1" s="1"/>
  <c r="J635" i="1" s="1"/>
  <c r="E111" i="2"/>
  <c r="E115" i="2" s="1"/>
  <c r="C62" i="2"/>
  <c r="C63" i="2" s="1"/>
  <c r="F661" i="1"/>
  <c r="H25" i="13"/>
  <c r="E81" i="2"/>
  <c r="E63" i="2"/>
  <c r="L351" i="1"/>
  <c r="H647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K552" i="1" l="1"/>
  <c r="C27" i="10"/>
  <c r="I661" i="1"/>
  <c r="G104" i="2"/>
  <c r="J647" i="1"/>
  <c r="L545" i="1"/>
  <c r="H646" i="1"/>
  <c r="C141" i="2"/>
  <c r="C144" i="2" s="1"/>
  <c r="G660" i="1"/>
  <c r="G664" i="1" s="1"/>
  <c r="G672" i="1" s="1"/>
  <c r="C5" i="10" s="1"/>
  <c r="L338" i="1"/>
  <c r="L352" i="1" s="1"/>
  <c r="G633" i="1" s="1"/>
  <c r="J633" i="1" s="1"/>
  <c r="H660" i="1"/>
  <c r="H664" i="1" s="1"/>
  <c r="H667" i="1" s="1"/>
  <c r="E145" i="2"/>
  <c r="E33" i="13"/>
  <c r="D35" i="13" s="1"/>
  <c r="H648" i="1"/>
  <c r="J648" i="1" s="1"/>
  <c r="L257" i="1"/>
  <c r="L271" i="1" s="1"/>
  <c r="G632" i="1" s="1"/>
  <c r="J632" i="1" s="1"/>
  <c r="C128" i="2"/>
  <c r="C16" i="13"/>
  <c r="C28" i="10"/>
  <c r="D19" i="10" s="1"/>
  <c r="F193" i="1"/>
  <c r="G627" i="1" s="1"/>
  <c r="J627" i="1" s="1"/>
  <c r="C104" i="2"/>
  <c r="F660" i="1"/>
  <c r="I461" i="1"/>
  <c r="H642" i="1" s="1"/>
  <c r="J642" i="1" s="1"/>
  <c r="D31" i="13"/>
  <c r="C31" i="13" s="1"/>
  <c r="C25" i="13"/>
  <c r="H33" i="13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C145" i="2" l="1"/>
  <c r="G667" i="1"/>
  <c r="H672" i="1"/>
  <c r="C6" i="10" s="1"/>
  <c r="D11" i="10"/>
  <c r="D21" i="10"/>
  <c r="D22" i="10"/>
  <c r="D13" i="10"/>
  <c r="D27" i="10"/>
  <c r="D18" i="10"/>
  <c r="D17" i="10"/>
  <c r="D12" i="10"/>
  <c r="D24" i="10"/>
  <c r="D10" i="10"/>
  <c r="D26" i="10"/>
  <c r="C30" i="10"/>
  <c r="D16" i="10"/>
  <c r="D23" i="10"/>
  <c r="D20" i="10"/>
  <c r="D15" i="10"/>
  <c r="D25" i="10"/>
  <c r="D33" i="13"/>
  <c r="D36" i="13" s="1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<sst xmlns="http://schemas.openxmlformats.org/spreadsheetml/2006/main" count="3978" uniqueCount="915">
  <si>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</si>
  <si>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</si>
  <si>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</si>
  <si>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</si>
  <si>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</si>
  <si>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</si>
  <si>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</si>
  <si>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</si>
  <si>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</si>
  <si>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</si>
  <si>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</si>
  <si>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</si>
  <si>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</si>
  <si>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</si>
  <si>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</si>
  <si>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</si>
  <si>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</si>
  <si>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</si>
  <si>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</si>
  <si>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</si>
  <si>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</si>
  <si>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</si>
  <si>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</si>
  <si>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</si>
  <si>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</si>
  <si>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</si>
  <si>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</si>
  <si>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</si>
  <si>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</si>
  <si>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</si>
  <si>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</si>
  <si>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</si>
  <si>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</si>
  <si>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</si>
  <si>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</si>
  <si>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</si>
  <si>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</si>
  <si>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</si>
  <si>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</si>
  <si>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</si>
  <si>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</si>
  <si>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</si>
  <si>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</si>
  <si>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</si>
  <si>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</si>
  <si>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</si>
  <si>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</si>
  <si>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</si>
  <si>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</si>
  <si>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</si>
  <si>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</si>
  <si>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</si>
  <si>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</si>
  <si>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</si>
  <si>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</si>
  <si>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</si>
  <si>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</si>
  <si>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</si>
  <si>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</si>
  <si>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</si>
  <si>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</si>
  <si>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</si>
  <si>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</si>
  <si>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</si>
  <si>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</si>
  <si>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</si>
  <si>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</si>
  <si>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</si>
  <si>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</si>
  <si>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</si>
  <si>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</si>
  <si>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</si>
  <si>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</si>
  <si>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</si>
  <si>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</si>
  <si>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</si>
  <si>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</si>
  <si>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</si>
  <si>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</si>
  <si>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</si>
  <si>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</si>
  <si>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</si>
  <si>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</si>
  <si>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</si>
  <si>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</si>
  <si>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</si>
  <si>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</si>
  <si>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</si>
  <si>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</si>
  <si>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</si>
  <si>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</si>
  <si>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</si>
  <si>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</si>
  <si>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</si>
  <si>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</si>
  <si>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</si>
  <si>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</si>
  <si>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</si>
  <si>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</si>
  <si>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</si>
  <si>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</si>
  <si>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</si>
  <si>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</si>
  <si>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</si>
  <si>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</si>
  <si>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</si>
  <si>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</si>
  <si>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</si>
  <si>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</si>
  <si>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</si>
  <si>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</si>
  <si>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</si>
  <si>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</si>
  <si>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</si>
  <si>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</si>
  <si>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</si>
  <si>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</si>
  <si>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</si>
  <si>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</si>
  <si>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</si>
  <si>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</si>
  <si>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</si>
  <si>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</si>
  <si>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</si>
  <si>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</si>
  <si>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</si>
  <si>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</si>
  <si>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</si>
  <si>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</si>
  <si>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</si>
  <si>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</si>
  <si>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</si>
  <si>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</si>
  <si>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</si>
  <si>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</si>
  <si>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</si>
  <si>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</si>
  <si>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</si>
  <si>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</si>
  <si>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</si>
  <si>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</si>
  <si>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</si>
  <si>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</si>
  <si>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</si>
  <si>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</si>
  <si>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</si>
  <si>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</si>
  <si>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</si>
  <si>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</si>
  <si>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</si>
  <si>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</si>
  <si>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</si>
  <si>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</si>
  <si>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</si>
  <si>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</si>
  <si>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</si>
  <si>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</si>
  <si>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</si>
  <si>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</si>
  <si>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</si>
  <si>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</si>
  <si>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</si>
  <si>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</si>
  <si>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</si>
  <si>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</si>
  <si>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</si>
  <si>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</si>
  <si>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</si>
  <si>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</si>
  <si>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</si>
  <si>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</si>
  <si>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</si>
  <si>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</si>
  <si>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</si>
  <si>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</si>
  <si>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</si>
  <si>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</si>
  <si>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</si>
  <si>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</si>
  <si>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</si>
  <si>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</si>
  <si>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</si>
  <si>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</si>
  <si>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</si>
  <si>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</si>
  <si>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</si>
  <si>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</si>
  <si>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</si>
  <si>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</si>
  <si>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</si>
  <si>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</si>
  <si>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</si>
  <si>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</si>
  <si>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</si>
  <si>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</si>
  <si>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</si>
  <si>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</si>
  <si>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</si>
  <si>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</si>
  <si>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</si>
  <si>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</si>
  <si>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</si>
  <si>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</si>
  <si>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</si>
  <si>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</si>
  <si>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</si>
  <si>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</si>
  <si>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</si>
  <si>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</si>
  <si>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</si>
  <si>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</si>
  <si>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</si>
  <si>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</si>
  <si>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</si>
  <si>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</si>
  <si>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</si>
  <si>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</si>
  <si>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</si>
  <si>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</si>
  <si>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</si>
  <si>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</si>
  <si>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</si>
  <si>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</si>
  <si>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</si>
  <si>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</si>
  <si>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</si>
  <si>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</si>
  <si>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</si>
  <si>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</si>
  <si>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</si>
  <si>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</si>
  <si>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</si>
  <si>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</si>
  <si>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</si>
  <si>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</si>
  <si>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</si>
  <si>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</si>
  <si>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</si>
  <si>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</si>
  <si>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</si>
  <si>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</si>
  <si>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</si>
  <si>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</si>
  <si>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</si>
  <si>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</si>
  <si>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</si>
  <si>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</si>
  <si>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</si>
  <si>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</si>
  <si>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</si>
  <si>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</si>
  <si>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</si>
  <si>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</si>
  <si>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</si>
  <si>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</si>
  <si>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</si>
  <si>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</si>
  <si>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</si>
  <si>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</si>
  <si>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</si>
  <si>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</si>
  <si>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</si>
  <si>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</si>
  <si>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</si>
  <si>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</si>
  <si>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</si>
  <si>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</si>
  <si>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</si>
  <si>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</si>
  <si>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</si>
  <si>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</si>
  <si>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</si>
  <si>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</si>
  <si>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</si>
  <si>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</si>
  <si>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</si>
  <si>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</si>
  <si>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</si>
  <si>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</si>
  <si>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</si>
  <si>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</si>
  <si>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</si>
  <si>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</si>
  <si>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</si>
  <si>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</si>
  <si>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</si>
  <si>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</si>
  <si>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</si>
  <si>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</si>
  <si>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</si>
  <si>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</si>
  <si>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</si>
  <si>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</si>
  <si>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</si>
  <si>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</si>
  <si>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</si>
  <si>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</si>
  <si>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</si>
  <si>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</si>
  <si>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</si>
  <si>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</si>
  <si>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</si>
  <si>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</si>
  <si>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</si>
  <si>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</si>
  <si>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</si>
  <si>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</si>
  <si>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</si>
  <si>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</si>
  <si>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</si>
  <si>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</si>
  <si>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</si>
  <si>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</si>
  <si>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</si>
  <si>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</si>
  <si>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</si>
  <si>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</si>
  <si>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</si>
  <si>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</si>
  <si>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</si>
  <si>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</si>
  <si>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</si>
  <si>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</si>
  <si>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</si>
  <si>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</si>
  <si>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</si>
  <si>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</si>
  <si>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</si>
  <si>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</si>
  <si>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</si>
  <si>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</si>
  <si>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</si>
  <si>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</si>
  <si>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</si>
  <si>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</si>
  <si>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</si>
  <si>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</si>
  <si>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</si>
  <si>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</si>
  <si>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</si>
  <si>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</si>
  <si>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</si>
  <si>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</si>
  <si>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</si>
  <si>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</si>
  <si>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</si>
  <si>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</si>
  <si>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</si>
  <si>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</si>
  <si>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</si>
  <si>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</si>
  <si>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</si>
  <si>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</si>
  <si>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</si>
  <si>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</si>
  <si>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</si>
  <si>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</si>
  <si>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</si>
  <si>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</si>
  <si>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</si>
  <si>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</si>
  <si>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</si>
  <si>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</si>
  <si>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</si>
  <si>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</si>
  <si>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</si>
  <si>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</si>
  <si>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</si>
  <si>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</si>
  <si>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</si>
  <si>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</si>
  <si>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</si>
  <si>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</si>
  <si>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</si>
  <si>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</si>
  <si>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</si>
  <si>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</si>
  <si>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</si>
  <si>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</si>
  <si>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</si>
  <si>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</si>
  <si>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</si>
  <si>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</si>
  <si>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</si>
  <si>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</si>
  <si>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</si>
  <si>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</si>
  <si>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</si>
  <si>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</si>
  <si>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</si>
  <si>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</si>
  <si>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</si>
  <si>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</si>
  <si>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</si>
  <si>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</si>
  <si>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</si>
  <si>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</si>
  <si>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</si>
  <si>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</si>
  <si>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</si>
  <si>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</si>
  <si>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</si>
  <si>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</si>
  <si>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</si>
  <si>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</si>
  <si>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</si>
  <si>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</si>
  <si>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</si>
  <si>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</si>
  <si>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</si>
  <si>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</si>
  <si>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</si>
  <si>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</si>
  <si>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</si>
  <si>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</si>
  <si>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</si>
  <si>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</si>
  <si>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</si>
  <si>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</si>
  <si>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</si>
  <si>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</si>
  <si>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</si>
  <si>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</si>
  <si>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</si>
  <si>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</si>
  <si>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</si>
  <si>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</si>
  <si>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</si>
  <si>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</si>
  <si>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</si>
  <si>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</si>
  <si>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</si>
  <si>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</si>
  <si>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</si>
  <si>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</si>
  <si>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</si>
  <si>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</si>
  <si>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</si>
  <si>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</si>
  <si>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</si>
  <si>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</si>
  <si>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</si>
  <si>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</si>
  <si>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</si>
  <si>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</si>
  <si>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</si>
  <si>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</si>
  <si>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</si>
  <si>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</si>
  <si>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</si>
  <si>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</si>
  <si>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</si>
  <si>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</si>
  <si>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</si>
  <si>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</si>
  <si>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</si>
  <si>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</si>
  <si>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</si>
  <si>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</si>
  <si>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</si>
  <si>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</si>
  <si>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</si>
  <si>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</si>
  <si>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</si>
  <si>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</si>
  <si>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</si>
  <si>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</si>
  <si>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</si>
  <si>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</si>
  <si>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</si>
  <si>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</si>
  <si>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</si>
  <si>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</si>
  <si>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</si>
  <si>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</si>
  <si>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</si>
  <si>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</si>
  <si>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</si>
  <si>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</si>
  <si>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</si>
  <si>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</si>
  <si>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</si>
  <si>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</si>
  <si>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</si>
  <si>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</si>
  <si>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</si>
  <si>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</si>
  <si>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</si>
  <si>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</si>
  <si>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</si>
  <si>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</si>
  <si>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</si>
  <si>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</si>
  <si>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</si>
  <si>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</si>
  <si>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</si>
  <si>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</si>
  <si>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</si>
  <si>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</si>
  <si>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</si>
  <si>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</si>
  <si>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</si>
  <si>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</si>
  <si>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</si>
  <si>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</si>
  <si>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</si>
  <si>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</si>
  <si>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</si>
  <si>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</si>
  <si>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</si>
  <si>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</si>
  <si>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</si>
  <si>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</si>
  <si>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</si>
  <si>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</si>
  <si>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</si>
  <si>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</si>
  <si>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</si>
  <si>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</si>
  <si>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</si>
  <si>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</si>
  <si>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</si>
  <si>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</si>
  <si>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</si>
  <si>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</si>
  <si>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</si>
  <si>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</si>
  <si>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</si>
  <si>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</si>
  <si>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</si>
  <si>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</si>
  <si>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</si>
  <si>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</si>
  <si>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</si>
  <si>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</si>
  <si>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</si>
  <si>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</si>
  <si>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</si>
  <si>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</si>
  <si>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</si>
  <si>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</si>
  <si>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</si>
  <si>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</si>
  <si>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</si>
  <si>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</si>
  <si>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</si>
  <si>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</si>
  <si>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</si>
  <si>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</si>
  <si>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</si>
  <si>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</si>
  <si>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</si>
  <si>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</si>
  <si>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</si>
  <si>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</si>
  <si>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</si>
  <si>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</si>
  <si>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</si>
  <si>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</si>
  <si>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</si>
  <si>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</si>
  <si>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</si>
  <si>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</si>
  <si>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</si>
  <si>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</si>
  <si>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</si>
  <si>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</si>
  <si>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</si>
  <si>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</si>
  <si>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</si>
  <si>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</si>
  <si>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</si>
  <si>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</si>
  <si>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</si>
  <si>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</si>
  <si>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</si>
  <si>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</si>
  <si>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</si>
  <si>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</si>
  <si>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</si>
  <si>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</si>
  <si>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</si>
  <si>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</si>
  <si>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</si>
  <si>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</si>
  <si>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</si>
  <si>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</si>
  <si>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</si>
  <si>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</si>
  <si>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</si>
  <si>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</si>
  <si>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</si>
  <si>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</si>
  <si>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</si>
  <si>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</si>
  <si>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</si>
  <si>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</si>
  <si>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</si>
  <si>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</si>
  <si>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</si>
  <si>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</si>
  <si>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</si>
  <si>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</si>
  <si>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</si>
  <si>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</si>
  <si>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</si>
  <si>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</si>
  <si>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</si>
  <si>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</si>
  <si>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</si>
  <si>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</si>
  <si>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</si>
  <si>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</si>
  <si>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</si>
  <si>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</si>
  <si>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</si>
  <si>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</si>
  <si>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</si>
  <si>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</si>
  <si>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</si>
  <si>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</si>
  <si>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</si>
  <si>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</si>
  <si>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</si>
  <si>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</si>
  <si>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</si>
  <si>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</si>
  <si>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</si>
  <si>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</si>
  <si>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</si>
  <si>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</si>
  <si>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</si>
  <si>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</si>
  <si>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</si>
  <si>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</si>
  <si>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</si>
  <si>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</si>
  <si>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</si>
  <si>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</si>
  <si>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</si>
  <si>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</si>
  <si>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</si>
  <si>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</si>
  <si>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</si>
  <si>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</si>
  <si>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</si>
  <si>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</si>
  <si>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</si>
  <si>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</si>
  <si>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</si>
  <si>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</si>
  <si>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</si>
  <si>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</si>
  <si>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</si>
  <si>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</si>
  <si>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</si>
  <si>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</si>
  <si>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</si>
  <si>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</si>
  <si>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</si>
  <si>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</si>
  <si>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</si>
  <si>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</si>
  <si>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</si>
  <si>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</si>
  <si>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</si>
  <si>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</si>
  <si>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</si>
  <si>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</si>
  <si>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</si>
  <si>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</si>
  <si>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</si>
  <si>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</si>
  <si>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</si>
  <si>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</si>
  <si>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</si>
  <si>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</si>
  <si>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</si>
  <si>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</si>
  <si>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</si>
  <si>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</si>
  <si>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</si>
  <si>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</si>
  <si>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</si>
  <si>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</si>
  <si>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</si>
  <si>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</si>
  <si>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</si>
  <si>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</si>
  <si>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</si>
  <si>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</si>
  <si>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</si>
  <si>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</si>
  <si>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</si>
  <si>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</si>
  <si>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</si>
  <si>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</si>
  <si>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</si>
  <si>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</si>
  <si>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</si>
  <si>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</si>
  <si>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</si>
  <si>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</si>
  <si>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</si>
  <si>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</si>
  <si>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</si>
  <si>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</si>
  <si>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</si>
  <si>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</si>
  <si>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</si>
  <si>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</si>
  <si>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</si>
  <si>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</si>
  <si>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</si>
  <si>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</si>
  <si>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</si>
  <si>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</si>
  <si>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</si>
  <si>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</si>
  <si>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</si>
  <si>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</si>
  <si>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</si>
  <si>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</si>
  <si>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</si>
  <si>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</si>
  <si>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</si>
  <si>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</si>
  <si>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</si>
  <si>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</si>
  <si>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</si>
  <si>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</si>
  <si>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</si>
  <si>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</si>
  <si>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</si>
  <si>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</si>
  <si>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</si>
  <si>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</si>
  <si>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</si>
  <si>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</si>
  <si>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</si>
  <si>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</si>
  <si>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</si>
  <si>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</si>
  <si>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</si>
  <si>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</si>
  <si>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</si>
  <si>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</si>
  <si>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</si>
  <si>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</si>
  <si>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</si>
  <si>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</si>
  <si>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</si>
  <si>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</si>
  <si>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</si>
  <si>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</si>
  <si>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</si>
  <si>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</si>
  <si>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</si>
  <si>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</si>
  <si>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</si>
  <si>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</si>
  <si>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</si>
  <si>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</si>
  <si>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</si>
  <si>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</si>
  <si>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</si>
  <si>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</si>
  <si>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</si>
  <si>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</si>
  <si>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</si>
  <si>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</si>
  <si>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</si>
  <si>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</si>
  <si>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</si>
  <si>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</si>
  <si>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</si>
  <si>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</si>
  <si>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</si>
  <si>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</si>
  <si>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</si>
  <si>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</si>
  <si>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</si>
  <si>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</si>
  <si>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</si>
  <si>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</si>
  <si>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</si>
  <si>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</si>
  <si>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</si>
  <si>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</si>
  <si>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</si>
  <si>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</si>
  <si>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</si>
  <si>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</si>
  <si>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</si>
  <si>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</si>
  <si>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</si>
  <si>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</si>
  <si>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</si>
  <si>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</si>
  <si>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</si>
  <si>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</si>
  <si>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</si>
  <si>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</si>
  <si>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</si>
  <si>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</si>
  <si>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</si>
  <si>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</si>
  <si>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</si>
  <si>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</si>
  <si>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</si>
  <si>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</si>
  <si>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</si>
  <si>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</si>
  <si>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</si>
  <si>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</si>
  <si>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</si>
  <si>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</si>
  <si>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</si>
  <si>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</si>
  <si>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</si>
  <si>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</si>
  <si>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</si>
  <si>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</si>
  <si>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</si>
  <si>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</si>
  <si>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</si>
  <si>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</si>
  <si>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</si>
  <si>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</si>
  <si>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</si>
  <si>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</si>
  <si>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</si>
  <si>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</si>
  <si>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</si>
  <si>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</si>
  <si>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</si>
  <si>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</si>
  <si>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</si>
  <si>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</si>
  <si>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</si>
  <si>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</si>
  <si>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</si>
  <si>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</si>
  <si>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</si>
  <si>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</si>
  <si>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</si>
  <si>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</si>
  <si>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</si>
  <si>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</si>
  <si>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</si>
  <si>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</si>
  <si>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</si>
  <si>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</si>
  <si>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</si>
  <si>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</si>
  <si>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</si>
  <si>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</si>
  <si>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</si>
  <si>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</si>
  <si>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</si>
  <si>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</si>
  <si>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</si>
  <si>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</si>
  <si>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</si>
  <si>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</si>
  <si>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</si>
  <si>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</si>
  <si>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</si>
  <si>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</si>
  <si>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</si>
  <si>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</si>
  <si>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</si>
  <si>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</si>
  <si>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</si>
  <si>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</si>
  <si>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</si>
  <si>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</si>
  <si>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</si>
  <si>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</si>
  <si>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</si>
  <si>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</si>
  <si>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</si>
  <si>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</si>
  <si>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</si>
  <si>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</si>
  <si>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</si>
  <si>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</si>
  <si>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</si>
  <si>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</si>
  <si>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</si>
  <si>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</si>
  <si>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</si>
  <si>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</si>
  <si>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</si>
  <si>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</si>
  <si>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</si>
  <si>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</si>
  <si>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</si>
  <si>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</si>
  <si>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</si>
  <si>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</si>
  <si>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</si>
  <si>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</si>
  <si>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</si>
  <si>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</si>
  <si>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</si>
  <si>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</si>
  <si>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</si>
  <si>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</si>
  <si>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</si>
  <si>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</si>
  <si>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</si>
  <si>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LISBON REGIONAL SCHOOL DISTRICT</t>
  </si>
  <si>
    <t>08/16</t>
  </si>
  <si>
    <t>01/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</si>
</sst>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25" zoomScaleNormal="125" workbookViewId="0">
      <pane xSplit="5" ySplit="3" topLeftCell="F64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306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62680.22</v>
      </c>
      <c r="G9" s="18"/>
      <c r="H9" s="18"/>
      <c r="I9" s="18"/>
      <c r="J9" s="67">
        <f>SUM(I439)</f>
        <v>146385.81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80837.259999999995</v>
      </c>
      <c r="G12" s="18">
        <v>-9631.86</v>
      </c>
      <c r="H12" s="18">
        <v>-71205.399999999994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2000.62</v>
      </c>
      <c r="G13" s="18">
        <v>4753.41</v>
      </c>
      <c r="H13" s="18">
        <v>72325.990000000005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251084.47</v>
      </c>
      <c r="G14" s="18">
        <v>4938.3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396602.56999999995</v>
      </c>
      <c r="G19" s="41">
        <f>SUM(G9:G18)</f>
        <v>59.849999999999454</v>
      </c>
      <c r="H19" s="41">
        <f>SUM(H9:H18)</f>
        <v>1120.5900000000111</v>
      </c>
      <c r="I19" s="41">
        <f>SUM(I9:I18)</f>
        <v>0</v>
      </c>
      <c r="J19" s="41">
        <f>SUM(J9:J18)</f>
        <v>146385.81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268533.40000000002</v>
      </c>
      <c r="G24" s="18">
        <v>59.85</v>
      </c>
      <c r="H24" s="18">
        <v>1120.5899999999999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268533.40000000002</v>
      </c>
      <c r="G32" s="41">
        <f>SUM(G22:G31)</f>
        <v>59.85</v>
      </c>
      <c r="H32" s="41">
        <f>SUM(H22:H31)</f>
        <v>1120.5899999999999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>
        <v>0</v>
      </c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50000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20000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146385.81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58069.17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128069.17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146385.81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396602.57</v>
      </c>
      <c r="G52" s="41">
        <f>G51+G32</f>
        <v>59.85</v>
      </c>
      <c r="H52" s="41">
        <f>H51+H32</f>
        <v>1120.5899999999999</v>
      </c>
      <c r="I52" s="41">
        <f>I51+I32</f>
        <v>0</v>
      </c>
      <c r="J52" s="41">
        <f>J51+J32</f>
        <v>146385.81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2146848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2146848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>
        <v>5700</v>
      </c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1025136.9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26206.560000000001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>
        <v>32080.58</v>
      </c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1089124.04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365.58</v>
      </c>
      <c r="G96" s="18"/>
      <c r="H96" s="18"/>
      <c r="I96" s="18"/>
      <c r="J96" s="18">
        <v>206.74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48872.69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/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365.58</v>
      </c>
      <c r="G111" s="41">
        <f>SUM(G96:G110)</f>
        <v>48872.69</v>
      </c>
      <c r="H111" s="41">
        <f>SUM(H96:H110)</f>
        <v>0</v>
      </c>
      <c r="I111" s="41">
        <f>SUM(I96:I110)</f>
        <v>0</v>
      </c>
      <c r="J111" s="41">
        <f>SUM(J96:J110)</f>
        <v>206.74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3236337.62</v>
      </c>
      <c r="G112" s="41">
        <f>G60+G111</f>
        <v>48872.69</v>
      </c>
      <c r="H112" s="41">
        <f>H60+H79+H94+H111</f>
        <v>0</v>
      </c>
      <c r="I112" s="41">
        <f>I60+I111</f>
        <v>0</v>
      </c>
      <c r="J112" s="41">
        <f>J60+J111</f>
        <v>206.74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1794304.43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402526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2196830.4299999997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10870.2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2213.7800000000002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10870.2</v>
      </c>
      <c r="G136" s="41">
        <f>SUM(G123:G135)</f>
        <v>2213.7800000000002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2207700.63</v>
      </c>
      <c r="G140" s="41">
        <f>G121+SUM(G136:G137)</f>
        <v>2213.7800000000002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144083.26999999999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148048.35999999999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>
        <v>4882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89651.45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56068.67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56068.67</v>
      </c>
      <c r="G162" s="41">
        <f>SUM(G150:G161)</f>
        <v>89651.45</v>
      </c>
      <c r="H162" s="41">
        <f>SUM(H150:H161)</f>
        <v>297013.63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709.05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56777.72</v>
      </c>
      <c r="G169" s="41">
        <f>G147+G162+SUM(G163:G168)</f>
        <v>89651.45</v>
      </c>
      <c r="H169" s="41">
        <f>H147+H162+SUM(H163:H168)</f>
        <v>297013.63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900.2</v>
      </c>
      <c r="H179" s="18"/>
      <c r="I179" s="18"/>
      <c r="J179" s="18">
        <v>50000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900.2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900.2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5500815.9699999997</v>
      </c>
      <c r="G193" s="47">
        <f>G112+G140+G169+G192</f>
        <v>141638.12</v>
      </c>
      <c r="H193" s="47">
        <f>H112+H140+H169+H192</f>
        <v>297013.63</v>
      </c>
      <c r="I193" s="47">
        <f>I112+I140+I169+I192</f>
        <v>0</v>
      </c>
      <c r="J193" s="47">
        <f>J112+J140+J192</f>
        <v>50206.74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789535.04</v>
      </c>
      <c r="G197" s="18">
        <v>364148.67</v>
      </c>
      <c r="H197" s="18">
        <v>378.83</v>
      </c>
      <c r="I197" s="18">
        <v>8135.82</v>
      </c>
      <c r="J197" s="18">
        <v>3804.37</v>
      </c>
      <c r="K197" s="18"/>
      <c r="L197" s="19">
        <f>SUM(F197:K197)</f>
        <v>1166002.7300000002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161586.22</v>
      </c>
      <c r="G198" s="18">
        <v>81221.710000000006</v>
      </c>
      <c r="H198" s="18">
        <v>71454.7</v>
      </c>
      <c r="I198" s="18">
        <v>51.8</v>
      </c>
      <c r="J198" s="18">
        <v>161.56</v>
      </c>
      <c r="K198" s="18"/>
      <c r="L198" s="19">
        <f>SUM(F198:K198)</f>
        <v>314475.99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9030</v>
      </c>
      <c r="G200" s="18">
        <v>2105.84</v>
      </c>
      <c r="H200" s="18"/>
      <c r="I200" s="18"/>
      <c r="J200" s="18"/>
      <c r="K200" s="18"/>
      <c r="L200" s="19">
        <f>SUM(F200:K200)</f>
        <v>11135.84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41282.32</v>
      </c>
      <c r="G202" s="18">
        <v>24982.880000000001</v>
      </c>
      <c r="H202" s="18">
        <v>102688.25</v>
      </c>
      <c r="I202" s="18">
        <v>982.1</v>
      </c>
      <c r="J202" s="18">
        <v>91</v>
      </c>
      <c r="K202" s="18"/>
      <c r="L202" s="19">
        <f t="shared" ref="L202:L208" si="0">SUM(F202:K202)</f>
        <v>170026.55000000002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24161</v>
      </c>
      <c r="G203" s="18">
        <v>2035.62</v>
      </c>
      <c r="H203" s="18">
        <v>1987.99</v>
      </c>
      <c r="I203" s="18">
        <v>1913.48</v>
      </c>
      <c r="J203" s="18"/>
      <c r="K203" s="18">
        <v>1931.62</v>
      </c>
      <c r="L203" s="19">
        <f t="shared" si="0"/>
        <v>32029.71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4491.93</v>
      </c>
      <c r="G204" s="18">
        <v>343.68</v>
      </c>
      <c r="H204" s="18">
        <v>71211.12</v>
      </c>
      <c r="I204" s="18">
        <v>0</v>
      </c>
      <c r="J204" s="18"/>
      <c r="K204" s="18">
        <v>5572.38</v>
      </c>
      <c r="L204" s="19">
        <f t="shared" si="0"/>
        <v>81619.11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84956.94</v>
      </c>
      <c r="G205" s="18">
        <v>36066.28</v>
      </c>
      <c r="H205" s="18">
        <v>10342.4</v>
      </c>
      <c r="I205" s="18">
        <v>5164.67</v>
      </c>
      <c r="J205" s="18">
        <v>194.32</v>
      </c>
      <c r="K205" s="18">
        <v>1064.73</v>
      </c>
      <c r="L205" s="19">
        <f t="shared" si="0"/>
        <v>137789.34000000003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40287.72</v>
      </c>
      <c r="G207" s="18">
        <v>13695.2</v>
      </c>
      <c r="H207" s="18">
        <v>46452.68</v>
      </c>
      <c r="I207" s="18">
        <v>41995.72</v>
      </c>
      <c r="J207" s="18">
        <v>722.09</v>
      </c>
      <c r="K207" s="18"/>
      <c r="L207" s="19">
        <f t="shared" si="0"/>
        <v>143153.41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2887.5</v>
      </c>
      <c r="G208" s="18">
        <v>490.54</v>
      </c>
      <c r="H208" s="18">
        <v>49296.9</v>
      </c>
      <c r="I208" s="18">
        <v>455.94</v>
      </c>
      <c r="J208" s="18"/>
      <c r="K208" s="18"/>
      <c r="L208" s="19">
        <f t="shared" si="0"/>
        <v>53130.880000000005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>
        <v>161.93</v>
      </c>
      <c r="J209" s="18"/>
      <c r="K209" s="18"/>
      <c r="L209" s="19">
        <f>SUM(F209:K209)</f>
        <v>161.93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1158218.67</v>
      </c>
      <c r="G211" s="41">
        <f t="shared" si="1"/>
        <v>525090.42000000004</v>
      </c>
      <c r="H211" s="41">
        <f t="shared" si="1"/>
        <v>353812.87</v>
      </c>
      <c r="I211" s="41">
        <f t="shared" si="1"/>
        <v>58861.46</v>
      </c>
      <c r="J211" s="41">
        <f t="shared" si="1"/>
        <v>4973.34</v>
      </c>
      <c r="K211" s="41">
        <f t="shared" si="1"/>
        <v>8568.73</v>
      </c>
      <c r="L211" s="41">
        <f t="shared" si="1"/>
        <v>2109525.4900000007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434490.35</v>
      </c>
      <c r="G215" s="18">
        <v>201446.55</v>
      </c>
      <c r="H215" s="18">
        <v>88.84</v>
      </c>
      <c r="I215" s="18">
        <v>2704.61</v>
      </c>
      <c r="J215" s="18">
        <v>1392.71</v>
      </c>
      <c r="K215" s="18"/>
      <c r="L215" s="19">
        <f>SUM(F215:K215)</f>
        <v>640123.05999999982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164921.01999999999</v>
      </c>
      <c r="G216" s="18">
        <v>59450.080000000002</v>
      </c>
      <c r="H216" s="18">
        <v>2530</v>
      </c>
      <c r="I216" s="18"/>
      <c r="J216" s="18"/>
      <c r="K216" s="18"/>
      <c r="L216" s="19">
        <f>SUM(F216:K216)</f>
        <v>226901.09999999998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22783.55</v>
      </c>
      <c r="G217" s="18">
        <v>9171.85</v>
      </c>
      <c r="H217" s="18"/>
      <c r="I217" s="18">
        <v>1326.72</v>
      </c>
      <c r="J217" s="18">
        <v>180.02</v>
      </c>
      <c r="K217" s="18"/>
      <c r="L217" s="19">
        <f>SUM(F217:K217)</f>
        <v>33462.14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17566.5</v>
      </c>
      <c r="G218" s="18">
        <v>3471.12</v>
      </c>
      <c r="H218" s="18">
        <v>6490</v>
      </c>
      <c r="I218" s="18">
        <v>4000</v>
      </c>
      <c r="J218" s="18">
        <v>1114.52</v>
      </c>
      <c r="K218" s="18"/>
      <c r="L218" s="19">
        <f>SUM(F218:K218)</f>
        <v>32642.14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34661.22</v>
      </c>
      <c r="G220" s="18">
        <v>7033</v>
      </c>
      <c r="H220" s="18">
        <v>42629.73</v>
      </c>
      <c r="I220" s="18">
        <v>873.68</v>
      </c>
      <c r="J220" s="18">
        <v>90</v>
      </c>
      <c r="K220" s="18"/>
      <c r="L220" s="19">
        <f t="shared" ref="L220:L226" si="2">SUM(F220:K220)</f>
        <v>85287.63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15365.02</v>
      </c>
      <c r="G221" s="18">
        <v>1194.67</v>
      </c>
      <c r="H221" s="18">
        <v>1878</v>
      </c>
      <c r="I221" s="18">
        <v>1404.31</v>
      </c>
      <c r="J221" s="18"/>
      <c r="K221" s="18">
        <v>2986.68</v>
      </c>
      <c r="L221" s="19">
        <f t="shared" si="2"/>
        <v>22828.680000000004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2823.5</v>
      </c>
      <c r="G222" s="18">
        <v>216.01</v>
      </c>
      <c r="H222" s="18">
        <v>62905.38</v>
      </c>
      <c r="I222" s="18">
        <v>0</v>
      </c>
      <c r="J222" s="18"/>
      <c r="K222" s="18">
        <v>3727.24</v>
      </c>
      <c r="L222" s="19">
        <f t="shared" si="2"/>
        <v>69672.13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55973.65</v>
      </c>
      <c r="G223" s="18">
        <v>23848.18</v>
      </c>
      <c r="H223" s="18">
        <v>9222.4</v>
      </c>
      <c r="I223" s="18">
        <v>5202.3900000000003</v>
      </c>
      <c r="J223" s="18">
        <v>194.32</v>
      </c>
      <c r="K223" s="18">
        <v>1614.23</v>
      </c>
      <c r="L223" s="19">
        <f t="shared" si="2"/>
        <v>96055.17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25258.11</v>
      </c>
      <c r="G225" s="18">
        <v>8581.9699999999993</v>
      </c>
      <c r="H225" s="18">
        <v>29072.93</v>
      </c>
      <c r="I225" s="18">
        <v>30022.98</v>
      </c>
      <c r="J225" s="18">
        <v>707.57</v>
      </c>
      <c r="K225" s="18"/>
      <c r="L225" s="19">
        <f t="shared" si="2"/>
        <v>93643.560000000012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1815</v>
      </c>
      <c r="G226" s="18">
        <v>308.33999999999997</v>
      </c>
      <c r="H226" s="18">
        <v>39161.839999999997</v>
      </c>
      <c r="I226" s="18">
        <v>398.42</v>
      </c>
      <c r="J226" s="18"/>
      <c r="K226" s="18"/>
      <c r="L226" s="19">
        <f t="shared" si="2"/>
        <v>41683.599999999991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>
        <v>10960.02</v>
      </c>
      <c r="I227" s="18">
        <v>6016.47</v>
      </c>
      <c r="J227" s="18">
        <v>7647.86</v>
      </c>
      <c r="K227" s="18"/>
      <c r="L227" s="19">
        <f>SUM(F227:K227)</f>
        <v>24624.350000000002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775657.92</v>
      </c>
      <c r="G229" s="41">
        <f>SUM(G215:G228)</f>
        <v>314721.76999999996</v>
      </c>
      <c r="H229" s="41">
        <f>SUM(H215:H228)</f>
        <v>204939.13999999998</v>
      </c>
      <c r="I229" s="41">
        <f>SUM(I215:I228)</f>
        <v>51949.58</v>
      </c>
      <c r="J229" s="41">
        <f>SUM(J215:J228)</f>
        <v>11327</v>
      </c>
      <c r="K229" s="41">
        <f t="shared" si="3"/>
        <v>8328.15</v>
      </c>
      <c r="L229" s="41">
        <f t="shared" si="3"/>
        <v>1366923.56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558020.11</v>
      </c>
      <c r="G233" s="18">
        <v>229644.95</v>
      </c>
      <c r="H233" s="18">
        <v>3619</v>
      </c>
      <c r="I233" s="18">
        <v>19061.990000000002</v>
      </c>
      <c r="J233" s="18">
        <v>3508.78</v>
      </c>
      <c r="K233" s="18"/>
      <c r="L233" s="19">
        <f>SUM(F233:K233)</f>
        <v>813854.83000000007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63182.01</v>
      </c>
      <c r="G234" s="18">
        <v>45868.6</v>
      </c>
      <c r="H234" s="18">
        <v>509</v>
      </c>
      <c r="I234" s="18"/>
      <c r="J234" s="18"/>
      <c r="K234" s="18"/>
      <c r="L234" s="19">
        <f>SUM(F234:K234)</f>
        <v>109559.61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113558.45</v>
      </c>
      <c r="G235" s="18">
        <v>41344.79</v>
      </c>
      <c r="H235" s="18">
        <v>52413.9</v>
      </c>
      <c r="I235" s="18"/>
      <c r="J235" s="18">
        <v>180.02</v>
      </c>
      <c r="K235" s="18">
        <v>1269.1500000000001</v>
      </c>
      <c r="L235" s="19">
        <f>SUM(F235:K235)</f>
        <v>208766.30999999997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47595.5</v>
      </c>
      <c r="G236" s="18">
        <v>8567.3799999999992</v>
      </c>
      <c r="H236" s="18">
        <v>13950</v>
      </c>
      <c r="I236" s="18">
        <v>4800</v>
      </c>
      <c r="J236" s="18">
        <v>3963.48</v>
      </c>
      <c r="K236" s="18">
        <v>1433.39</v>
      </c>
      <c r="L236" s="19">
        <f>SUM(F236:K236)</f>
        <v>80309.75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56375.47</v>
      </c>
      <c r="G238" s="18">
        <v>12472.84</v>
      </c>
      <c r="H238" s="18">
        <v>45159.46</v>
      </c>
      <c r="I238" s="18">
        <v>873.64</v>
      </c>
      <c r="J238" s="18">
        <v>90</v>
      </c>
      <c r="K238" s="18"/>
      <c r="L238" s="19">
        <f t="shared" ref="L238:L244" si="4">SUM(F238:K238)</f>
        <v>114971.40999999999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12486.57</v>
      </c>
      <c r="G239" s="18">
        <v>1047.8900000000001</v>
      </c>
      <c r="H239" s="18">
        <v>1878.01</v>
      </c>
      <c r="I239" s="18">
        <v>1481.5</v>
      </c>
      <c r="J239" s="18"/>
      <c r="K239" s="18">
        <v>4786.76</v>
      </c>
      <c r="L239" s="19">
        <f t="shared" si="4"/>
        <v>21680.730000000003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5518.65</v>
      </c>
      <c r="G240" s="18">
        <v>422.16</v>
      </c>
      <c r="H240" s="18">
        <v>95242.63</v>
      </c>
      <c r="I240" s="18">
        <v>0</v>
      </c>
      <c r="J240" s="18"/>
      <c r="K240" s="18">
        <v>7202.35</v>
      </c>
      <c r="L240" s="19">
        <f t="shared" si="4"/>
        <v>108385.79000000001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101937.04</v>
      </c>
      <c r="G241" s="18">
        <v>43459.94</v>
      </c>
      <c r="H241" s="18">
        <v>11700.67</v>
      </c>
      <c r="I241" s="18">
        <v>5043.25</v>
      </c>
      <c r="J241" s="18">
        <v>194.35</v>
      </c>
      <c r="K241" s="18">
        <v>3576.03</v>
      </c>
      <c r="L241" s="19">
        <f t="shared" si="4"/>
        <v>165911.28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52872.47</v>
      </c>
      <c r="G243" s="18">
        <v>17119.740000000002</v>
      </c>
      <c r="H243" s="18">
        <v>34281.65</v>
      </c>
      <c r="I243" s="18">
        <v>39942.26</v>
      </c>
      <c r="J243" s="18">
        <v>1380.45</v>
      </c>
      <c r="K243" s="18"/>
      <c r="L243" s="19">
        <f t="shared" si="4"/>
        <v>145596.57000000004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3547.5</v>
      </c>
      <c r="G244" s="18">
        <v>602.66</v>
      </c>
      <c r="H244" s="18">
        <v>110573.91</v>
      </c>
      <c r="I244" s="18">
        <v>518.67999999999995</v>
      </c>
      <c r="J244" s="18"/>
      <c r="K244" s="18"/>
      <c r="L244" s="19">
        <f t="shared" si="4"/>
        <v>115242.75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>
        <v>10902.28</v>
      </c>
      <c r="I245" s="18">
        <v>6521.62</v>
      </c>
      <c r="J245" s="18">
        <v>26451.65</v>
      </c>
      <c r="K245" s="18"/>
      <c r="L245" s="19">
        <f>SUM(F245:K245)</f>
        <v>43875.55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1015093.7699999999</v>
      </c>
      <c r="G247" s="41">
        <f t="shared" si="5"/>
        <v>400550.94999999995</v>
      </c>
      <c r="H247" s="41">
        <f t="shared" si="5"/>
        <v>380230.51</v>
      </c>
      <c r="I247" s="41">
        <f t="shared" si="5"/>
        <v>78242.939999999988</v>
      </c>
      <c r="J247" s="41">
        <f t="shared" si="5"/>
        <v>35768.730000000003</v>
      </c>
      <c r="K247" s="41">
        <f t="shared" si="5"/>
        <v>18267.68</v>
      </c>
      <c r="L247" s="41">
        <f t="shared" si="5"/>
        <v>1928154.58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2948970.36</v>
      </c>
      <c r="G257" s="41">
        <f t="shared" si="8"/>
        <v>1240363.1399999999</v>
      </c>
      <c r="H257" s="41">
        <f t="shared" si="8"/>
        <v>938982.52</v>
      </c>
      <c r="I257" s="41">
        <f t="shared" si="8"/>
        <v>189053.97999999998</v>
      </c>
      <c r="J257" s="41">
        <f t="shared" si="8"/>
        <v>52069.070000000007</v>
      </c>
      <c r="K257" s="41">
        <f t="shared" si="8"/>
        <v>35164.559999999998</v>
      </c>
      <c r="L257" s="41">
        <f t="shared" si="8"/>
        <v>5404603.6300000008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682.02</v>
      </c>
      <c r="L261" s="19">
        <f>SUM(F261:K261)</f>
        <v>682.02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900.2</v>
      </c>
      <c r="L263" s="19">
        <f>SUM(F263:K263)</f>
        <v>900.2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11322</v>
      </c>
      <c r="L268" s="19">
        <f t="shared" si="9"/>
        <v>11322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62904.22</v>
      </c>
      <c r="L270" s="41">
        <f t="shared" si="9"/>
        <v>62904.22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2948970.36</v>
      </c>
      <c r="G271" s="42">
        <f t="shared" si="11"/>
        <v>1240363.1399999999</v>
      </c>
      <c r="H271" s="42">
        <f t="shared" si="11"/>
        <v>938982.52</v>
      </c>
      <c r="I271" s="42">
        <f t="shared" si="11"/>
        <v>189053.97999999998</v>
      </c>
      <c r="J271" s="42">
        <f t="shared" si="11"/>
        <v>52069.070000000007</v>
      </c>
      <c r="K271" s="42">
        <f t="shared" si="11"/>
        <v>98068.78</v>
      </c>
      <c r="L271" s="42">
        <f t="shared" si="11"/>
        <v>5467507.8500000006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36850.199999999997</v>
      </c>
      <c r="G276" s="18">
        <v>20924.05</v>
      </c>
      <c r="H276" s="18">
        <v>0</v>
      </c>
      <c r="I276" s="18"/>
      <c r="J276" s="18">
        <v>0</v>
      </c>
      <c r="K276" s="18"/>
      <c r="L276" s="19">
        <f>SUM(F276:K276)</f>
        <v>57774.25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18482.53</v>
      </c>
      <c r="G277" s="18">
        <v>2864.54</v>
      </c>
      <c r="H277" s="18">
        <v>3583.81</v>
      </c>
      <c r="I277" s="18">
        <v>1348.65</v>
      </c>
      <c r="J277" s="18">
        <v>2032.82</v>
      </c>
      <c r="K277" s="18">
        <v>0</v>
      </c>
      <c r="L277" s="19">
        <f>SUM(F277:K277)</f>
        <v>28312.350000000002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v>9373</v>
      </c>
      <c r="I281" s="18">
        <v>0</v>
      </c>
      <c r="J281" s="18"/>
      <c r="K281" s="18"/>
      <c r="L281" s="19">
        <f t="shared" ref="L281:L287" si="12">SUM(F281:K281)</f>
        <v>9373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>
        <v>6006.19</v>
      </c>
      <c r="I282" s="18"/>
      <c r="J282" s="18"/>
      <c r="K282" s="18"/>
      <c r="L282" s="19">
        <f t="shared" si="12"/>
        <v>6006.19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>
        <v>780.28</v>
      </c>
      <c r="L283" s="19">
        <f t="shared" si="12"/>
        <v>780.28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55332.729999999996</v>
      </c>
      <c r="G290" s="42">
        <f t="shared" si="13"/>
        <v>23788.59</v>
      </c>
      <c r="H290" s="42">
        <f t="shared" si="13"/>
        <v>18963</v>
      </c>
      <c r="I290" s="42">
        <f t="shared" si="13"/>
        <v>1348.65</v>
      </c>
      <c r="J290" s="42">
        <f t="shared" si="13"/>
        <v>2032.82</v>
      </c>
      <c r="K290" s="42">
        <f t="shared" si="13"/>
        <v>780.28</v>
      </c>
      <c r="L290" s="41">
        <f t="shared" si="13"/>
        <v>102246.07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23163.48</v>
      </c>
      <c r="G295" s="18">
        <v>13152.26</v>
      </c>
      <c r="H295" s="18">
        <v>0</v>
      </c>
      <c r="I295" s="18"/>
      <c r="J295" s="18">
        <v>0</v>
      </c>
      <c r="K295" s="18"/>
      <c r="L295" s="19">
        <f>SUM(F295:K295)</f>
        <v>36315.74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11617.59</v>
      </c>
      <c r="G296" s="18">
        <v>1800.57</v>
      </c>
      <c r="H296" s="18">
        <v>2252.6799999999998</v>
      </c>
      <c r="I296" s="18">
        <v>847.67200000000003</v>
      </c>
      <c r="J296" s="18">
        <v>1277.77</v>
      </c>
      <c r="K296" s="18"/>
      <c r="L296" s="19">
        <f>SUM(F296:K296)</f>
        <v>17796.281999999999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>
        <v>5891.6</v>
      </c>
      <c r="I300" s="18"/>
      <c r="J300" s="18"/>
      <c r="K300" s="18"/>
      <c r="L300" s="19">
        <f t="shared" ref="L300:L306" si="14">SUM(F300:K300)</f>
        <v>5891.6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>
        <v>3775.32</v>
      </c>
      <c r="I301" s="18"/>
      <c r="J301" s="18"/>
      <c r="K301" s="18"/>
      <c r="L301" s="19">
        <f t="shared" si="14"/>
        <v>3775.32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>
        <v>490.46</v>
      </c>
      <c r="L302" s="19">
        <f t="shared" si="14"/>
        <v>490.46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34781.07</v>
      </c>
      <c r="G309" s="42">
        <f t="shared" si="15"/>
        <v>14952.83</v>
      </c>
      <c r="H309" s="42">
        <f t="shared" si="15"/>
        <v>11919.6</v>
      </c>
      <c r="I309" s="42">
        <f t="shared" si="15"/>
        <v>847.67200000000003</v>
      </c>
      <c r="J309" s="42">
        <f t="shared" si="15"/>
        <v>1277.77</v>
      </c>
      <c r="K309" s="42">
        <f t="shared" si="15"/>
        <v>490.46</v>
      </c>
      <c r="L309" s="41">
        <f t="shared" si="15"/>
        <v>64269.401999999995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45273.1</v>
      </c>
      <c r="G314" s="18">
        <v>25706.18</v>
      </c>
      <c r="H314" s="18">
        <v>0</v>
      </c>
      <c r="I314" s="18"/>
      <c r="J314" s="18">
        <v>0</v>
      </c>
      <c r="K314" s="18"/>
      <c r="L314" s="19">
        <f>SUM(F314:K314)</f>
        <v>70979.28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22707.11</v>
      </c>
      <c r="G315" s="18">
        <v>3519.29</v>
      </c>
      <c r="H315" s="18">
        <v>4402.9799999999996</v>
      </c>
      <c r="I315" s="18">
        <v>1656.91</v>
      </c>
      <c r="J315" s="18">
        <v>2497.46</v>
      </c>
      <c r="K315" s="18"/>
      <c r="L315" s="19">
        <f>SUM(F315:K315)</f>
        <v>34783.75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3960</v>
      </c>
      <c r="G317" s="18">
        <v>922</v>
      </c>
      <c r="H317" s="18"/>
      <c r="I317" s="18"/>
      <c r="J317" s="18"/>
      <c r="K317" s="18"/>
      <c r="L317" s="19">
        <f>SUM(F317:K317)</f>
        <v>4882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>
        <v>11515.4</v>
      </c>
      <c r="I319" s="18"/>
      <c r="J319" s="18"/>
      <c r="K319" s="18"/>
      <c r="L319" s="19">
        <f t="shared" ref="L319:L325" si="16">SUM(F319:K319)</f>
        <v>11515.4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>
        <v>7379.09</v>
      </c>
      <c r="I320" s="18"/>
      <c r="J320" s="18"/>
      <c r="K320" s="18"/>
      <c r="L320" s="19">
        <f t="shared" si="16"/>
        <v>7379.09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>
        <v>958.64</v>
      </c>
      <c r="L321" s="19">
        <f t="shared" si="16"/>
        <v>958.64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71940.209999999992</v>
      </c>
      <c r="G328" s="42">
        <f t="shared" si="17"/>
        <v>30147.47</v>
      </c>
      <c r="H328" s="42">
        <f t="shared" si="17"/>
        <v>23297.47</v>
      </c>
      <c r="I328" s="42">
        <f t="shared" si="17"/>
        <v>1656.91</v>
      </c>
      <c r="J328" s="42">
        <f t="shared" si="17"/>
        <v>2497.46</v>
      </c>
      <c r="K328" s="42">
        <f t="shared" si="17"/>
        <v>958.64</v>
      </c>
      <c r="L328" s="41">
        <f t="shared" si="17"/>
        <v>130498.15999999999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162054.00999999998</v>
      </c>
      <c r="G338" s="41">
        <f t="shared" si="20"/>
        <v>68888.89</v>
      </c>
      <c r="H338" s="41">
        <f t="shared" si="20"/>
        <v>54180.07</v>
      </c>
      <c r="I338" s="41">
        <f t="shared" si="20"/>
        <v>3853.232</v>
      </c>
      <c r="J338" s="41">
        <f t="shared" si="20"/>
        <v>5808.05</v>
      </c>
      <c r="K338" s="41">
        <f t="shared" si="20"/>
        <v>2229.38</v>
      </c>
      <c r="L338" s="41">
        <f t="shared" si="20"/>
        <v>297013.63199999998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162054.00999999998</v>
      </c>
      <c r="G352" s="41">
        <f>G338</f>
        <v>68888.89</v>
      </c>
      <c r="H352" s="41">
        <f>H338</f>
        <v>54180.07</v>
      </c>
      <c r="I352" s="41">
        <f>I338</f>
        <v>3853.232</v>
      </c>
      <c r="J352" s="41">
        <f>J338</f>
        <v>5808.05</v>
      </c>
      <c r="K352" s="47">
        <f>K338+K351</f>
        <v>2229.38</v>
      </c>
      <c r="L352" s="41">
        <f>L338+L351</f>
        <v>297013.63199999998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47117.7</v>
      </c>
      <c r="I358" s="18"/>
      <c r="J358" s="18"/>
      <c r="K358" s="18"/>
      <c r="L358" s="13">
        <f>SUM(F358:K358)</f>
        <v>47117.7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>
        <v>31006.14</v>
      </c>
      <c r="I359" s="18"/>
      <c r="J359" s="18"/>
      <c r="K359" s="18"/>
      <c r="L359" s="19">
        <f>SUM(F359:K359)</f>
        <v>31006.14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>
        <v>63514.28</v>
      </c>
      <c r="I360" s="18"/>
      <c r="J360" s="18"/>
      <c r="K360" s="18"/>
      <c r="L360" s="19">
        <f>SUM(F360:K360)</f>
        <v>63514.28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141638.12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141638.12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>
        <v>25000</v>
      </c>
      <c r="H392" s="18">
        <v>100.1</v>
      </c>
      <c r="I392" s="18"/>
      <c r="J392" s="24" t="s">
        <v>288</v>
      </c>
      <c r="K392" s="24" t="s">
        <v>288</v>
      </c>
      <c r="L392" s="56">
        <f t="shared" si="25"/>
        <v>25100.1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25000</v>
      </c>
      <c r="H393" s="139">
        <f>SUM(H387:H392)</f>
        <v>100.1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25100.1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25000</v>
      </c>
      <c r="H396" s="18">
        <v>106.64</v>
      </c>
      <c r="I396" s="18">
        <v>0</v>
      </c>
      <c r="J396" s="24" t="s">
        <v>288</v>
      </c>
      <c r="K396" s="24" t="s">
        <v>288</v>
      </c>
      <c r="L396" s="56">
        <f t="shared" si="26"/>
        <v>25106.639999999999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0</v>
      </c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106.64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25106.639999999999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206.74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50206.74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71014.100000000006</v>
      </c>
      <c r="G439" s="18">
        <v>75371.710000000006</v>
      </c>
      <c r="H439" s="18"/>
      <c r="I439" s="56">
        <f t="shared" ref="I439:I445" si="33">SUM(F439:H439)</f>
        <v>146385.81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71014.100000000006</v>
      </c>
      <c r="G446" s="13">
        <f>SUM(G439:G445)</f>
        <v>75371.710000000006</v>
      </c>
      <c r="H446" s="13">
        <f>SUM(H439:H445)</f>
        <v>0</v>
      </c>
      <c r="I446" s="13">
        <f>SUM(I439:I445)</f>
        <v>146385.81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71014.100000000006</v>
      </c>
      <c r="G459" s="18">
        <v>75371.710000000006</v>
      </c>
      <c r="H459" s="18"/>
      <c r="I459" s="56">
        <f t="shared" si="34"/>
        <v>146385.81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71014.100000000006</v>
      </c>
      <c r="G460" s="83">
        <f>SUM(G454:G459)</f>
        <v>75371.710000000006</v>
      </c>
      <c r="H460" s="83">
        <f>SUM(H454:H459)</f>
        <v>0</v>
      </c>
      <c r="I460" s="83">
        <f>SUM(I454:I459)</f>
        <v>146385.81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71014.100000000006</v>
      </c>
      <c r="G461" s="42">
        <f>G452+G460</f>
        <v>75371.710000000006</v>
      </c>
      <c r="H461" s="42">
        <f>H452+H460</f>
        <v>0</v>
      </c>
      <c r="I461" s="42">
        <f>I452+I460</f>
        <v>146385.81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94761.05</v>
      </c>
      <c r="G465" s="18"/>
      <c r="H465" s="18"/>
      <c r="I465" s="18"/>
      <c r="J465" s="18">
        <v>96179.07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5500815.9699999997</v>
      </c>
      <c r="G468" s="18">
        <v>141638.12</v>
      </c>
      <c r="H468" s="18">
        <v>297013.63</v>
      </c>
      <c r="I468" s="18"/>
      <c r="J468" s="18">
        <v>50206.74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5500815.9699999997</v>
      </c>
      <c r="G470" s="53">
        <f>SUM(G468:G469)</f>
        <v>141638.12</v>
      </c>
      <c r="H470" s="53">
        <f>SUM(H468:H469)</f>
        <v>297013.63</v>
      </c>
      <c r="I470" s="53">
        <f>SUM(I468:I469)</f>
        <v>0</v>
      </c>
      <c r="J470" s="53">
        <f>SUM(J468:J469)</f>
        <v>50206.74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5467507.8499999996</v>
      </c>
      <c r="G472" s="18">
        <v>141638.12</v>
      </c>
      <c r="H472" s="18">
        <v>297013.63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5467507.8499999996</v>
      </c>
      <c r="G474" s="53">
        <f>SUM(G472:G473)</f>
        <v>141638.12</v>
      </c>
      <c r="H474" s="53">
        <f>SUM(H472:H473)</f>
        <v>297013.63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128069.16999999993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146385.81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12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393150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3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0</v>
      </c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393150</v>
      </c>
      <c r="G496" s="18"/>
      <c r="H496" s="18"/>
      <c r="I496" s="18"/>
      <c r="J496" s="18"/>
      <c r="K496" s="53">
        <f t="shared" ref="K496:K503" si="35">SUM(F496:J496)</f>
        <v>393150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0</v>
      </c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393150</v>
      </c>
      <c r="G498" s="204"/>
      <c r="H498" s="204"/>
      <c r="I498" s="204"/>
      <c r="J498" s="204"/>
      <c r="K498" s="205">
        <f t="shared" si="35"/>
        <v>393150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84418.23</v>
      </c>
      <c r="G499" s="18"/>
      <c r="H499" s="18"/>
      <c r="I499" s="18"/>
      <c r="J499" s="18"/>
      <c r="K499" s="53">
        <f t="shared" si="35"/>
        <v>84418.23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477568.23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477568.23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33904.800000000003</v>
      </c>
      <c r="G501" s="204"/>
      <c r="H501" s="204"/>
      <c r="I501" s="204"/>
      <c r="J501" s="204"/>
      <c r="K501" s="205">
        <f t="shared" si="35"/>
        <v>33904.800000000003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11794.5</v>
      </c>
      <c r="G502" s="18"/>
      <c r="H502" s="18"/>
      <c r="I502" s="18"/>
      <c r="J502" s="18"/>
      <c r="K502" s="53">
        <f t="shared" si="35"/>
        <v>11794.5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45699.3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45699.3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>
        <v>19422.900000000001</v>
      </c>
      <c r="H507" s="144"/>
      <c r="I507" s="144">
        <v>19422.900000000001</v>
      </c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>
        <v>3229312.27</v>
      </c>
      <c r="G513" s="24" t="s">
        <v>288</v>
      </c>
      <c r="H513" s="18">
        <v>3105775.19</v>
      </c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>
        <v>50425.72</v>
      </c>
      <c r="G514" s="24" t="s">
        <v>288</v>
      </c>
      <c r="H514" s="18">
        <v>41351.22</v>
      </c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3279737.99</v>
      </c>
      <c r="G517" s="42">
        <f>SUM(G511:G516)</f>
        <v>0</v>
      </c>
      <c r="H517" s="42">
        <f>SUM(H511:H516)</f>
        <v>3147126.41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161588.22</v>
      </c>
      <c r="G521" s="18">
        <v>84086.25</v>
      </c>
      <c r="H521" s="18">
        <v>75038.509999999995</v>
      </c>
      <c r="I521" s="18">
        <v>3905.08</v>
      </c>
      <c r="J521" s="18">
        <v>5969.61</v>
      </c>
      <c r="K521" s="18"/>
      <c r="L521" s="88">
        <f>SUM(F521:K521)</f>
        <v>330587.67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164921.01999999999</v>
      </c>
      <c r="G522" s="18">
        <v>61250.57</v>
      </c>
      <c r="H522" s="18">
        <v>4782.68</v>
      </c>
      <c r="I522" s="18"/>
      <c r="J522" s="18"/>
      <c r="K522" s="18"/>
      <c r="L522" s="88">
        <f>SUM(F522:K522)</f>
        <v>230954.27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63182.01</v>
      </c>
      <c r="G523" s="18">
        <v>49387.89</v>
      </c>
      <c r="H523" s="18">
        <v>4911.9799999999996</v>
      </c>
      <c r="I523" s="18"/>
      <c r="J523" s="18"/>
      <c r="K523" s="18"/>
      <c r="L523" s="88">
        <f>SUM(F523:K523)</f>
        <v>117481.87999999999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389691.25</v>
      </c>
      <c r="G524" s="108">
        <f t="shared" ref="G524:L524" si="36">SUM(G521:G523)</f>
        <v>194724.71000000002</v>
      </c>
      <c r="H524" s="108">
        <f t="shared" si="36"/>
        <v>84733.17</v>
      </c>
      <c r="I524" s="108">
        <f t="shared" si="36"/>
        <v>3905.08</v>
      </c>
      <c r="J524" s="108">
        <f t="shared" si="36"/>
        <v>5969.61</v>
      </c>
      <c r="K524" s="108">
        <f t="shared" si="36"/>
        <v>0</v>
      </c>
      <c r="L524" s="89">
        <f t="shared" si="36"/>
        <v>679023.82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 t="s">
        <v>286</v>
      </c>
      <c r="G526" s="18" t="s">
        <v>286</v>
      </c>
      <c r="H526" s="18">
        <v>101837.41</v>
      </c>
      <c r="I526" s="18" t="s">
        <v>286</v>
      </c>
      <c r="J526" s="18" t="s">
        <v>286</v>
      </c>
      <c r="K526" s="18"/>
      <c r="L526" s="88">
        <f>SUM(F526:K526)</f>
        <v>101837.41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 t="s">
        <v>286</v>
      </c>
      <c r="G527" s="18" t="s">
        <v>286</v>
      </c>
      <c r="H527" s="18">
        <v>32193.73</v>
      </c>
      <c r="I527" s="18" t="s">
        <v>286</v>
      </c>
      <c r="J527" s="18" t="s">
        <v>286</v>
      </c>
      <c r="K527" s="18"/>
      <c r="L527" s="88">
        <f>SUM(F527:K527)</f>
        <v>32193.73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 t="s">
        <v>286</v>
      </c>
      <c r="G528" s="18" t="s">
        <v>286</v>
      </c>
      <c r="H528" s="18">
        <v>24331.33</v>
      </c>
      <c r="I528" s="18" t="s">
        <v>286</v>
      </c>
      <c r="J528" s="18" t="s">
        <v>286</v>
      </c>
      <c r="K528" s="18"/>
      <c r="L528" s="88">
        <f>SUM(F528:K528)</f>
        <v>24331.33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158362.47000000003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158362.47000000003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23892.05</v>
      </c>
      <c r="G531" s="18">
        <v>11927.06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35819.11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13822.27</v>
      </c>
      <c r="G532" s="18">
        <v>7497.01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21319.279999999999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25114.16</v>
      </c>
      <c r="G533" s="18">
        <v>14653.24</v>
      </c>
      <c r="H533" s="18">
        <v>0</v>
      </c>
      <c r="I533" s="18">
        <v>0</v>
      </c>
      <c r="J533" s="18">
        <v>0</v>
      </c>
      <c r="K533" s="18">
        <v>0</v>
      </c>
      <c r="L533" s="88">
        <f>SUM(F533:K533)</f>
        <v>39767.4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62828.479999999996</v>
      </c>
      <c r="G534" s="89">
        <f t="shared" ref="G534:L534" si="38">SUM(G531:G533)</f>
        <v>34077.31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96905.790000000008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0</v>
      </c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0</v>
      </c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0</v>
      </c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 t="s">
        <v>286</v>
      </c>
      <c r="G541" s="18" t="s">
        <v>286</v>
      </c>
      <c r="H541" s="18">
        <v>8386.24</v>
      </c>
      <c r="I541" s="18" t="s">
        <v>286</v>
      </c>
      <c r="J541" s="18"/>
      <c r="K541" s="18"/>
      <c r="L541" s="88">
        <f>SUM(F541:K541)</f>
        <v>8386.24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 t="s">
        <v>286</v>
      </c>
      <c r="G542" s="18" t="s">
        <v>286</v>
      </c>
      <c r="H542" s="18">
        <v>5395.86</v>
      </c>
      <c r="I542" s="18" t="s">
        <v>286</v>
      </c>
      <c r="J542" s="18"/>
      <c r="K542" s="18"/>
      <c r="L542" s="88">
        <f>SUM(F542:K542)</f>
        <v>5395.86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 t="s">
        <v>286</v>
      </c>
      <c r="G543" s="18" t="s">
        <v>286</v>
      </c>
      <c r="H543" s="18">
        <v>10261.99</v>
      </c>
      <c r="I543" s="18" t="s">
        <v>286</v>
      </c>
      <c r="J543" s="18"/>
      <c r="K543" s="18"/>
      <c r="L543" s="88">
        <f>SUM(F543:K543)</f>
        <v>10261.99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24044.089999999997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24044.089999999997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452519.73</v>
      </c>
      <c r="G545" s="89">
        <f t="shared" ref="G545:L545" si="41">G524+G529+G534+G539+G544</f>
        <v>228802.02000000002</v>
      </c>
      <c r="H545" s="89">
        <f t="shared" si="41"/>
        <v>267139.73</v>
      </c>
      <c r="I545" s="89">
        <f t="shared" si="41"/>
        <v>3905.08</v>
      </c>
      <c r="J545" s="89">
        <f t="shared" si="41"/>
        <v>5969.61</v>
      </c>
      <c r="K545" s="89">
        <f t="shared" si="41"/>
        <v>0</v>
      </c>
      <c r="L545" s="89">
        <f t="shared" si="41"/>
        <v>958336.17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330587.67</v>
      </c>
      <c r="G549" s="87">
        <f>L526</f>
        <v>101837.41</v>
      </c>
      <c r="H549" s="87">
        <f>L531</f>
        <v>35819.11</v>
      </c>
      <c r="I549" s="87">
        <f>L536</f>
        <v>0</v>
      </c>
      <c r="J549" s="87">
        <f>L541</f>
        <v>8386.24</v>
      </c>
      <c r="K549" s="87">
        <f>SUM(F549:J549)</f>
        <v>476630.42999999993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230954.27</v>
      </c>
      <c r="G550" s="87">
        <f>L527</f>
        <v>32193.73</v>
      </c>
      <c r="H550" s="87">
        <f>L532</f>
        <v>21319.279999999999</v>
      </c>
      <c r="I550" s="87">
        <f>L537</f>
        <v>0</v>
      </c>
      <c r="J550" s="87">
        <f>L542</f>
        <v>5395.86</v>
      </c>
      <c r="K550" s="87">
        <f>SUM(F550:J550)</f>
        <v>289863.14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117481.87999999999</v>
      </c>
      <c r="G551" s="87">
        <f>L528</f>
        <v>24331.33</v>
      </c>
      <c r="H551" s="87">
        <f>L533</f>
        <v>39767.4</v>
      </c>
      <c r="I551" s="87">
        <f>L538</f>
        <v>0</v>
      </c>
      <c r="J551" s="87">
        <f>L543</f>
        <v>10261.99</v>
      </c>
      <c r="K551" s="87">
        <f>SUM(F551:J551)</f>
        <v>191842.59999999998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679023.82</v>
      </c>
      <c r="G552" s="89">
        <f t="shared" si="42"/>
        <v>158362.47000000003</v>
      </c>
      <c r="H552" s="89">
        <f t="shared" si="42"/>
        <v>96905.790000000008</v>
      </c>
      <c r="I552" s="89">
        <f t="shared" si="42"/>
        <v>0</v>
      </c>
      <c r="J552" s="89">
        <f t="shared" si="42"/>
        <v>24044.089999999997</v>
      </c>
      <c r="K552" s="89">
        <f t="shared" si="42"/>
        <v>958336.16999999993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26995.61</v>
      </c>
      <c r="G579" s="18"/>
      <c r="H579" s="18"/>
      <c r="I579" s="87">
        <f t="shared" si="47"/>
        <v>26995.61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44459.09</v>
      </c>
      <c r="G582" s="18"/>
      <c r="H582" s="18"/>
      <c r="I582" s="87">
        <f t="shared" si="47"/>
        <v>44459.09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52413.9</v>
      </c>
      <c r="I584" s="87">
        <f t="shared" si="47"/>
        <v>52413.9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38966.089999999997</v>
      </c>
      <c r="I591" s="18">
        <v>25977.29</v>
      </c>
      <c r="J591" s="18">
        <v>53135.62</v>
      </c>
      <c r="K591" s="104">
        <f t="shared" ref="K591:K597" si="48">SUM(H591:J591)</f>
        <v>118079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8386.24</v>
      </c>
      <c r="I592" s="18">
        <v>5395.86</v>
      </c>
      <c r="J592" s="18">
        <v>10261.99</v>
      </c>
      <c r="K592" s="104">
        <f t="shared" si="48"/>
        <v>24044.089999999997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28025</v>
      </c>
      <c r="K593" s="104">
        <f t="shared" si="48"/>
        <v>28025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8100</v>
      </c>
      <c r="J594" s="18">
        <v>18757.64</v>
      </c>
      <c r="K594" s="104">
        <f t="shared" si="48"/>
        <v>26857.64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5778.55</v>
      </c>
      <c r="I597" s="18">
        <v>2210.4499999999998</v>
      </c>
      <c r="J597" s="18">
        <v>5062.5</v>
      </c>
      <c r="K597" s="104">
        <f t="shared" si="48"/>
        <v>13051.5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53130.879999999997</v>
      </c>
      <c r="I598" s="108">
        <f>SUM(I591:I597)</f>
        <v>41683.599999999999</v>
      </c>
      <c r="J598" s="108">
        <f>SUM(J591:J597)</f>
        <v>115242.75</v>
      </c>
      <c r="K598" s="108">
        <f>SUM(K591:K597)</f>
        <v>210057.22999999998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7827.92</v>
      </c>
      <c r="I604" s="18">
        <v>12326.64</v>
      </c>
      <c r="J604" s="18">
        <v>37722.559999999998</v>
      </c>
      <c r="K604" s="104">
        <f>SUM(H604:J604)</f>
        <v>57877.119999999995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7827.92</v>
      </c>
      <c r="I605" s="108">
        <f>SUM(I602:I604)</f>
        <v>12326.64</v>
      </c>
      <c r="J605" s="108">
        <f>SUM(J602:J604)</f>
        <v>37722.559999999998</v>
      </c>
      <c r="K605" s="108">
        <f>SUM(K602:K604)</f>
        <v>57877.119999999995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11773.75</v>
      </c>
      <c r="G611" s="18">
        <v>2315.71</v>
      </c>
      <c r="H611" s="18"/>
      <c r="I611" s="18"/>
      <c r="J611" s="18"/>
      <c r="K611" s="18"/>
      <c r="L611" s="88">
        <f>SUM(F611:K611)</f>
        <v>14089.46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11773.75</v>
      </c>
      <c r="G614" s="108">
        <f t="shared" si="49"/>
        <v>2315.71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14089.46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396602.56999999995</v>
      </c>
      <c r="H617" s="109">
        <f>SUM(F52)</f>
        <v>396602.57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59.849999999999454</v>
      </c>
      <c r="H618" s="109">
        <f>SUM(G52)</f>
        <v>59.85</v>
      </c>
      <c r="I618" s="121" t="s">
        <v>891</v>
      </c>
      <c r="J618" s="109">
        <f>G618-H618</f>
        <v>-5.4711790653527714E-13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1120.5900000000111</v>
      </c>
      <c r="H619" s="109">
        <f>SUM(H52)</f>
        <v>1120.5899999999999</v>
      </c>
      <c r="I619" s="121" t="s">
        <v>892</v>
      </c>
      <c r="J619" s="109">
        <f>G619-H619</f>
        <v>1.1141310096718371E-11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146385.81</v>
      </c>
      <c r="H621" s="109">
        <f>SUM(J52)</f>
        <v>146385.81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128069.17</v>
      </c>
      <c r="H622" s="109">
        <f>F476</f>
        <v>128069.16999999993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146385.81</v>
      </c>
      <c r="H626" s="109">
        <f>J476</f>
        <v>146385.81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5500815.9699999997</v>
      </c>
      <c r="H627" s="104">
        <f>SUM(F468)</f>
        <v>5500815.9699999997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141638.12</v>
      </c>
      <c r="H628" s="104">
        <f>SUM(G468)</f>
        <v>141638.12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297013.63</v>
      </c>
      <c r="H629" s="104">
        <f>SUM(H468)</f>
        <v>297013.63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50206.74</v>
      </c>
      <c r="H631" s="104">
        <f>SUM(J468)</f>
        <v>50206.74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5467507.8500000006</v>
      </c>
      <c r="H632" s="104">
        <f>SUM(F472)</f>
        <v>5467507.8499999996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297013.63199999998</v>
      </c>
      <c r="H633" s="104">
        <f>SUM(H472)</f>
        <v>297013.63</v>
      </c>
      <c r="I633" s="140" t="s">
        <v>112</v>
      </c>
      <c r="J633" s="109">
        <f>G633-H633</f>
        <v>1.9999999785795808E-3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141638.12</v>
      </c>
      <c r="H635" s="104">
        <f>SUM(G472)</f>
        <v>141638.12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50206.74</v>
      </c>
      <c r="H637" s="164">
        <f>SUM(J468)</f>
        <v>50206.74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71014.100000000006</v>
      </c>
      <c r="H639" s="104">
        <f>SUM(F461)</f>
        <v>71014.100000000006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75371.710000000006</v>
      </c>
      <c r="H640" s="104">
        <f>SUM(G461)</f>
        <v>75371.710000000006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146385.81</v>
      </c>
      <c r="H642" s="104">
        <f>SUM(I461)</f>
        <v>146385.81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206.74</v>
      </c>
      <c r="H644" s="104">
        <f>H408</f>
        <v>206.74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50000</v>
      </c>
      <c r="H645" s="104">
        <f>G408</f>
        <v>50000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50206.74</v>
      </c>
      <c r="H646" s="104">
        <f>L408</f>
        <v>50206.74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210057.22999999998</v>
      </c>
      <c r="H647" s="104">
        <f>L208+L226+L244</f>
        <v>210057.22999999998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57877.119999999995</v>
      </c>
      <c r="H648" s="104">
        <f>(J257+J338)-(J255+J336)</f>
        <v>57877.12000000001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53130.880000000005</v>
      </c>
      <c r="H649" s="104">
        <f>H598</f>
        <v>53130.879999999997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41683.599999999991</v>
      </c>
      <c r="H650" s="104">
        <f>I598</f>
        <v>41683.599999999999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115242.75</v>
      </c>
      <c r="H651" s="104">
        <f>J598</f>
        <v>115242.75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900.2</v>
      </c>
      <c r="H652" s="104">
        <f>K263+K345</f>
        <v>900.2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50000</v>
      </c>
      <c r="H655" s="104">
        <f>K266+K347</f>
        <v>50000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1.999998465180397E-3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2258889.2600000007</v>
      </c>
      <c r="G660" s="19">
        <f>(L229+L309+L359)</f>
        <v>1462199.102</v>
      </c>
      <c r="H660" s="19">
        <f>(L247+L328+L360)</f>
        <v>2122167.02</v>
      </c>
      <c r="I660" s="19">
        <f>SUM(F660:H660)</f>
        <v>5843255.3820000011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16258.11430999649</v>
      </c>
      <c r="G661" s="19">
        <f>(L359/IF(SUM(L358:L360)=0,1,SUM(L358:L360))*(SUM(G97:G110)))</f>
        <v>10698.768582332214</v>
      </c>
      <c r="H661" s="19">
        <f>(L360/IF(SUM(L358:L360)=0,1,SUM(L358:L360))*(SUM(G97:G110)))</f>
        <v>21915.807107671299</v>
      </c>
      <c r="I661" s="19">
        <f>SUM(F661:H661)</f>
        <v>48872.69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53130.880000000005</v>
      </c>
      <c r="G662" s="19">
        <f>(L226+L306)-(J226+J306)</f>
        <v>41683.599999999991</v>
      </c>
      <c r="H662" s="19">
        <f>(L244+L325)-(J244+J325)</f>
        <v>115242.75</v>
      </c>
      <c r="I662" s="19">
        <f>SUM(F662:H662)</f>
        <v>210057.22999999998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93372.079999999987</v>
      </c>
      <c r="G663" s="199">
        <f>SUM(G575:G587)+SUM(I602:I604)+L612</f>
        <v>12326.64</v>
      </c>
      <c r="H663" s="199">
        <f>SUM(H575:H587)+SUM(J602:J604)+L613</f>
        <v>90136.459999999992</v>
      </c>
      <c r="I663" s="19">
        <f>SUM(F663:H663)</f>
        <v>195835.18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2096128.1856900041</v>
      </c>
      <c r="G664" s="19">
        <f>G660-SUM(G661:G663)</f>
        <v>1397490.0934176678</v>
      </c>
      <c r="H664" s="19">
        <f>H660-SUM(H661:H663)</f>
        <v>1894872.0028923287</v>
      </c>
      <c r="I664" s="19">
        <f>I660-SUM(I661:I663)</f>
        <v>5388490.2820000015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151.09</v>
      </c>
      <c r="G665" s="248">
        <v>78.77</v>
      </c>
      <c r="H665" s="248">
        <v>103.54</v>
      </c>
      <c r="I665" s="19">
        <f>SUM(F665:H665)</f>
        <v>333.40000000000003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13873.37</v>
      </c>
      <c r="G667" s="19">
        <f>ROUND(G664/G665,2)</f>
        <v>17741.400000000001</v>
      </c>
      <c r="H667" s="19">
        <f>ROUND(H664/H665,2)</f>
        <v>18300.87</v>
      </c>
      <c r="I667" s="19">
        <f>ROUND(I664/I665,2)</f>
        <v>16162.24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-11</v>
      </c>
      <c r="I670" s="19">
        <f>SUM(F670:H670)</f>
        <v>-11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13873.37</v>
      </c>
      <c r="G672" s="19">
        <f>ROUND((G664+G669)/(G665+G670),2)</f>
        <v>17741.400000000001</v>
      </c>
      <c r="H672" s="19">
        <f>ROUND((H664+H669)/(H665+H670),2)</f>
        <v>20476.25</v>
      </c>
      <c r="I672" s="19">
        <f>ROUND((I664+I669)/(I665+I670),2)</f>
        <v>16713.68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LISBON REGIONAL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1887332.28</v>
      </c>
      <c r="C9" s="229">
        <f>'DOE25'!G197+'DOE25'!G215+'DOE25'!G233+'DOE25'!G276+'DOE25'!G295+'DOE25'!G314</f>
        <v>855022.66</v>
      </c>
    </row>
    <row r="10" spans="1:3" x14ac:dyDescent="0.2">
      <c r="A10" t="s">
        <v>778</v>
      </c>
      <c r="B10" s="240">
        <v>1836444.85</v>
      </c>
      <c r="C10" s="240">
        <v>812563.56</v>
      </c>
    </row>
    <row r="11" spans="1:3" x14ac:dyDescent="0.2">
      <c r="A11" t="s">
        <v>779</v>
      </c>
      <c r="B11" s="240">
        <v>17992.43</v>
      </c>
      <c r="C11" s="240">
        <v>39942.629999999997</v>
      </c>
    </row>
    <row r="12" spans="1:3" x14ac:dyDescent="0.2">
      <c r="A12" t="s">
        <v>780</v>
      </c>
      <c r="B12" s="240">
        <v>32895</v>
      </c>
      <c r="C12" s="240">
        <v>2516.4699999999998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1887332.28</v>
      </c>
      <c r="C13" s="231">
        <f>SUM(C10:C12)</f>
        <v>855022.66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442496.48000000004</v>
      </c>
      <c r="C18" s="229">
        <f>'DOE25'!G198+'DOE25'!G216+'DOE25'!G234+'DOE25'!G277+'DOE25'!G296+'DOE25'!G315</f>
        <v>194724.79000000004</v>
      </c>
    </row>
    <row r="19" spans="1:3" x14ac:dyDescent="0.2">
      <c r="A19" t="s">
        <v>778</v>
      </c>
      <c r="B19" s="240">
        <v>203704</v>
      </c>
      <c r="C19" s="240">
        <v>105597</v>
      </c>
    </row>
    <row r="20" spans="1:3" x14ac:dyDescent="0.2">
      <c r="A20" t="s">
        <v>779</v>
      </c>
      <c r="B20" s="240">
        <v>222985.25</v>
      </c>
      <c r="C20" s="240">
        <v>87918.54</v>
      </c>
    </row>
    <row r="21" spans="1:3" x14ac:dyDescent="0.2">
      <c r="A21" t="s">
        <v>780</v>
      </c>
      <c r="B21" s="240">
        <v>15807.23</v>
      </c>
      <c r="C21" s="240">
        <v>1209.25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442496.48</v>
      </c>
      <c r="C22" s="231">
        <f>SUM(C19:C21)</f>
        <v>194724.78999999998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136342</v>
      </c>
      <c r="C27" s="234">
        <f>'DOE25'!G199+'DOE25'!G217+'DOE25'!G235+'DOE25'!G278+'DOE25'!G297+'DOE25'!G316</f>
        <v>50516.639999999999</v>
      </c>
    </row>
    <row r="28" spans="1:3" x14ac:dyDescent="0.2">
      <c r="A28" t="s">
        <v>778</v>
      </c>
      <c r="B28" s="240">
        <v>136342</v>
      </c>
      <c r="C28" s="240">
        <v>50516.639999999999</v>
      </c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136342</v>
      </c>
      <c r="C31" s="231">
        <f>SUM(C28:C30)</f>
        <v>50516.639999999999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78152</v>
      </c>
      <c r="C36" s="235">
        <f>'DOE25'!G200+'DOE25'!G218+'DOE25'!G236+'DOE25'!G279+'DOE25'!G298+'DOE25'!G317</f>
        <v>15066.34</v>
      </c>
    </row>
    <row r="37" spans="1:3" x14ac:dyDescent="0.2">
      <c r="A37" t="s">
        <v>778</v>
      </c>
      <c r="B37" s="240">
        <v>71243</v>
      </c>
      <c r="C37" s="240">
        <v>14537.8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6909</v>
      </c>
      <c r="C39" s="240">
        <v>528.54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78152</v>
      </c>
      <c r="C40" s="231">
        <f>SUM(C37:C39)</f>
        <v>15066.34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LISBON REGIONAL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3637233.5</v>
      </c>
      <c r="D5" s="20">
        <f>SUM('DOE25'!L197:L200)+SUM('DOE25'!L215:L218)+SUM('DOE25'!L233:L236)-F5-G5</f>
        <v>3620225.5</v>
      </c>
      <c r="E5" s="243"/>
      <c r="F5" s="255">
        <f>SUM('DOE25'!J197:J200)+SUM('DOE25'!J215:J218)+SUM('DOE25'!J233:J236)</f>
        <v>14305.460000000001</v>
      </c>
      <c r="G5" s="53">
        <f>SUM('DOE25'!K197:K200)+SUM('DOE25'!K215:K218)+SUM('DOE25'!K233:K236)</f>
        <v>2702.54</v>
      </c>
      <c r="H5" s="259"/>
    </row>
    <row r="6" spans="1:9" x14ac:dyDescent="0.2">
      <c r="A6" s="32">
        <v>2100</v>
      </c>
      <c r="B6" t="s">
        <v>800</v>
      </c>
      <c r="C6" s="245">
        <f t="shared" si="0"/>
        <v>370285.59</v>
      </c>
      <c r="D6" s="20">
        <f>'DOE25'!L202+'DOE25'!L220+'DOE25'!L238-F6-G6</f>
        <v>370014.59</v>
      </c>
      <c r="E6" s="243"/>
      <c r="F6" s="255">
        <f>'DOE25'!J202+'DOE25'!J220+'DOE25'!J238</f>
        <v>271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76539.12</v>
      </c>
      <c r="D7" s="20">
        <f>'DOE25'!L203+'DOE25'!L221+'DOE25'!L239-F7-G7</f>
        <v>66834.06</v>
      </c>
      <c r="E7" s="243"/>
      <c r="F7" s="255">
        <f>'DOE25'!J203+'DOE25'!J221+'DOE25'!J239</f>
        <v>0</v>
      </c>
      <c r="G7" s="53">
        <f>'DOE25'!K203+'DOE25'!K221+'DOE25'!K239</f>
        <v>9705.06</v>
      </c>
      <c r="H7" s="259"/>
    </row>
    <row r="8" spans="1:9" x14ac:dyDescent="0.2">
      <c r="A8" s="32">
        <v>2300</v>
      </c>
      <c r="B8" t="s">
        <v>801</v>
      </c>
      <c r="C8" s="245">
        <f t="shared" si="0"/>
        <v>138457.78</v>
      </c>
      <c r="D8" s="243"/>
      <c r="E8" s="20">
        <f>'DOE25'!L204+'DOE25'!L222+'DOE25'!L240-F8-G8-D9-D11</f>
        <v>121955.81</v>
      </c>
      <c r="F8" s="255">
        <f>'DOE25'!J204+'DOE25'!J222+'DOE25'!J240</f>
        <v>0</v>
      </c>
      <c r="G8" s="53">
        <f>'DOE25'!K204+'DOE25'!K222+'DOE25'!K240</f>
        <v>16501.97</v>
      </c>
      <c r="H8" s="259"/>
    </row>
    <row r="9" spans="1:9" x14ac:dyDescent="0.2">
      <c r="A9" s="32">
        <v>2310</v>
      </c>
      <c r="B9" t="s">
        <v>817</v>
      </c>
      <c r="C9" s="245">
        <f t="shared" si="0"/>
        <v>64026.03</v>
      </c>
      <c r="D9" s="244">
        <v>64026.03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8715</v>
      </c>
      <c r="D10" s="243"/>
      <c r="E10" s="244">
        <v>8715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57193.22</v>
      </c>
      <c r="D11" s="244">
        <v>57193.22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399755.79000000004</v>
      </c>
      <c r="D12" s="20">
        <f>'DOE25'!L205+'DOE25'!L223+'DOE25'!L241-F12-G12</f>
        <v>392917.81000000006</v>
      </c>
      <c r="E12" s="243"/>
      <c r="F12" s="255">
        <f>'DOE25'!J205+'DOE25'!J223+'DOE25'!J241</f>
        <v>582.99</v>
      </c>
      <c r="G12" s="53">
        <f>'DOE25'!K205+'DOE25'!K223+'DOE25'!K241</f>
        <v>6254.99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382393.54000000004</v>
      </c>
      <c r="D14" s="20">
        <f>'DOE25'!L207+'DOE25'!L225+'DOE25'!L243-F14-G14</f>
        <v>379583.43000000005</v>
      </c>
      <c r="E14" s="243"/>
      <c r="F14" s="255">
        <f>'DOE25'!J207+'DOE25'!J225+'DOE25'!J243</f>
        <v>2810.11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210057.22999999998</v>
      </c>
      <c r="D15" s="20">
        <f>'DOE25'!L208+'DOE25'!L226+'DOE25'!L244-F15-G15</f>
        <v>210057.22999999998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68661.83</v>
      </c>
      <c r="D16" s="243"/>
      <c r="E16" s="20">
        <f>'DOE25'!L209+'DOE25'!L227+'DOE25'!L245-F16-G16</f>
        <v>34562.32</v>
      </c>
      <c r="F16" s="255">
        <f>'DOE25'!J209+'DOE25'!J227+'DOE25'!J245</f>
        <v>34099.51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682.02</v>
      </c>
      <c r="D25" s="243"/>
      <c r="E25" s="243"/>
      <c r="F25" s="258"/>
      <c r="G25" s="256"/>
      <c r="H25" s="257">
        <f>'DOE25'!L260+'DOE25'!L261+'DOE25'!L341+'DOE25'!L342</f>
        <v>682.02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141638.12</v>
      </c>
      <c r="D29" s="20">
        <f>'DOE25'!L358+'DOE25'!L359+'DOE25'!L360-'DOE25'!I367-F29-G29</f>
        <v>141638.12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297013.63199999998</v>
      </c>
      <c r="D31" s="20">
        <f>'DOE25'!L290+'DOE25'!L309+'DOE25'!L328+'DOE25'!L333+'DOE25'!L334+'DOE25'!L335-F31-G31</f>
        <v>288976.20199999999</v>
      </c>
      <c r="E31" s="243"/>
      <c r="F31" s="255">
        <f>'DOE25'!J290+'DOE25'!J309+'DOE25'!J328+'DOE25'!J333+'DOE25'!J334+'DOE25'!J335</f>
        <v>5808.05</v>
      </c>
      <c r="G31" s="53">
        <f>'DOE25'!K290+'DOE25'!K309+'DOE25'!K328+'DOE25'!K333+'DOE25'!K334+'DOE25'!K335</f>
        <v>2229.38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5591466.1919999989</v>
      </c>
      <c r="E33" s="246">
        <f>SUM(E5:E31)</f>
        <v>165233.13</v>
      </c>
      <c r="F33" s="246">
        <f>SUM(F5:F31)</f>
        <v>57877.12000000001</v>
      </c>
      <c r="G33" s="246">
        <f>SUM(G5:G31)</f>
        <v>37393.939999999995</v>
      </c>
      <c r="H33" s="246">
        <f>SUM(H5:H31)</f>
        <v>682.02</v>
      </c>
    </row>
    <row r="35" spans="2:8" ht="12" thickBot="1" x14ac:dyDescent="0.25">
      <c r="B35" s="253" t="s">
        <v>846</v>
      </c>
      <c r="D35" s="254">
        <f>E33</f>
        <v>165233.13</v>
      </c>
      <c r="E35" s="249"/>
    </row>
    <row r="36" spans="2:8" ht="12" thickTop="1" x14ac:dyDescent="0.2">
      <c r="B36" t="s">
        <v>814</v>
      </c>
      <c r="D36" s="20">
        <f>D33</f>
        <v>5591466.1919999989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LISBON REGIONAL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62680.22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146385.81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80837.259999999995</v>
      </c>
      <c r="D11" s="95">
        <f>'DOE25'!G12</f>
        <v>-9631.86</v>
      </c>
      <c r="E11" s="95">
        <f>'DOE25'!H12</f>
        <v>-71205.399999999994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2000.62</v>
      </c>
      <c r="D12" s="95">
        <f>'DOE25'!G13</f>
        <v>4753.41</v>
      </c>
      <c r="E12" s="95">
        <f>'DOE25'!H13</f>
        <v>72325.990000000005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251084.47</v>
      </c>
      <c r="D13" s="95">
        <f>'DOE25'!G14</f>
        <v>4938.3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396602.56999999995</v>
      </c>
      <c r="D18" s="41">
        <f>SUM(D8:D17)</f>
        <v>59.849999999999454</v>
      </c>
      <c r="E18" s="41">
        <f>SUM(E8:E17)</f>
        <v>1120.5900000000111</v>
      </c>
      <c r="F18" s="41">
        <f>SUM(F8:F17)</f>
        <v>0</v>
      </c>
      <c r="G18" s="41">
        <f>SUM(G8:G17)</f>
        <v>146385.81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268533.40000000002</v>
      </c>
      <c r="D23" s="95">
        <f>'DOE25'!G24</f>
        <v>59.85</v>
      </c>
      <c r="E23" s="95">
        <f>'DOE25'!H24</f>
        <v>1120.5899999999999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268533.40000000002</v>
      </c>
      <c r="D31" s="41">
        <f>SUM(D21:D30)</f>
        <v>59.85</v>
      </c>
      <c r="E31" s="41">
        <f>SUM(E21:E30)</f>
        <v>1120.5899999999999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20000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146385.81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58069.17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128069.17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146385.81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396602.57</v>
      </c>
      <c r="D51" s="41">
        <f>D50+D31</f>
        <v>59.85</v>
      </c>
      <c r="E51" s="41">
        <f>E50+E31</f>
        <v>1120.5899999999999</v>
      </c>
      <c r="F51" s="41">
        <f>F50+F31</f>
        <v>0</v>
      </c>
      <c r="G51" s="41">
        <f>G50+G31</f>
        <v>146385.81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2146848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1089124.04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365.58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206.74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48872.69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1089489.6200000001</v>
      </c>
      <c r="D62" s="130">
        <f>SUM(D57:D61)</f>
        <v>48872.69</v>
      </c>
      <c r="E62" s="130">
        <f>SUM(E57:E61)</f>
        <v>0</v>
      </c>
      <c r="F62" s="130">
        <f>SUM(F57:F61)</f>
        <v>0</v>
      </c>
      <c r="G62" s="130">
        <f>SUM(G57:G61)</f>
        <v>206.74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3236337.62</v>
      </c>
      <c r="D63" s="22">
        <f>D56+D62</f>
        <v>48872.69</v>
      </c>
      <c r="E63" s="22">
        <f>E56+E62</f>
        <v>0</v>
      </c>
      <c r="F63" s="22">
        <f>F56+F62</f>
        <v>0</v>
      </c>
      <c r="G63" s="22">
        <f>G56+G62</f>
        <v>206.74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1794304.43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402526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2196830.4299999997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10870.2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2213.7800000000002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10870.2</v>
      </c>
      <c r="D78" s="130">
        <f>SUM(D72:D77)</f>
        <v>2213.7800000000002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2207700.63</v>
      </c>
      <c r="D81" s="130">
        <f>SUM(D79:D80)+D78+D70</f>
        <v>2213.7800000000002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56068.67</v>
      </c>
      <c r="D88" s="95">
        <f>SUM('DOE25'!G153:G161)</f>
        <v>89651.45</v>
      </c>
      <c r="E88" s="95">
        <f>SUM('DOE25'!H153:H161)</f>
        <v>297013.63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709.05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56777.72</v>
      </c>
      <c r="D91" s="131">
        <f>SUM(D85:D90)</f>
        <v>89651.45</v>
      </c>
      <c r="E91" s="131">
        <f>SUM(E85:E90)</f>
        <v>297013.63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900.2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900.2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764</v>
      </c>
      <c r="C104" s="86">
        <f>C63+C81+C91+C103</f>
        <v>5500815.9699999997</v>
      </c>
      <c r="D104" s="86">
        <f>D63+D81+D91+D103</f>
        <v>141638.12</v>
      </c>
      <c r="E104" s="86">
        <f>E63+E81+E91+E103</f>
        <v>297013.63</v>
      </c>
      <c r="F104" s="86">
        <f>F63+F81+F91+F103</f>
        <v>0</v>
      </c>
      <c r="G104" s="86">
        <f>G63+G81+G103</f>
        <v>50206.74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2619980.62</v>
      </c>
      <c r="D109" s="24" t="s">
        <v>288</v>
      </c>
      <c r="E109" s="95">
        <f>('DOE25'!L276)+('DOE25'!L295)+('DOE25'!L314)</f>
        <v>165069.26999999999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650936.69999999995</v>
      </c>
      <c r="D110" s="24" t="s">
        <v>288</v>
      </c>
      <c r="E110" s="95">
        <f>('DOE25'!L277)+('DOE25'!L296)+('DOE25'!L315)</f>
        <v>80892.381999999998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242228.44999999995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124087.73</v>
      </c>
      <c r="D112" s="24" t="s">
        <v>288</v>
      </c>
      <c r="E112" s="95">
        <f>+('DOE25'!L279)+('DOE25'!L298)+('DOE25'!L317)</f>
        <v>4882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3637233.5000000005</v>
      </c>
      <c r="D115" s="86">
        <f>SUM(D109:D114)</f>
        <v>0</v>
      </c>
      <c r="E115" s="86">
        <f>SUM(E109:E114)</f>
        <v>250843.652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370285.59</v>
      </c>
      <c r="D118" s="24" t="s">
        <v>288</v>
      </c>
      <c r="E118" s="95">
        <f>+('DOE25'!L281)+('DOE25'!L300)+('DOE25'!L319)</f>
        <v>26780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76539.12</v>
      </c>
      <c r="D119" s="24" t="s">
        <v>288</v>
      </c>
      <c r="E119" s="95">
        <f>+('DOE25'!L282)+('DOE25'!L301)+('DOE25'!L320)</f>
        <v>17160.599999999999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259677.03</v>
      </c>
      <c r="D120" s="24" t="s">
        <v>288</v>
      </c>
      <c r="E120" s="95">
        <f>+('DOE25'!L283)+('DOE25'!L302)+('DOE25'!L321)</f>
        <v>2229.38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399755.79000000004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382393.54000000004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210057.22999999998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68661.83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141638.12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1767370.1300000001</v>
      </c>
      <c r="D128" s="86">
        <f>SUM(D118:D127)</f>
        <v>141638.12</v>
      </c>
      <c r="E128" s="86">
        <f>SUM(E118:E127)</f>
        <v>46169.979999999996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682.02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900.2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25100.1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25106.639999999999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-206.73999999999796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11322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62904.22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5467507.8500000006</v>
      </c>
      <c r="D145" s="86">
        <f>(D115+D128+D144)</f>
        <v>141638.12</v>
      </c>
      <c r="E145" s="86">
        <f>(E115+E128+E144)</f>
        <v>297013.63199999998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12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08/16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01/ 30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393150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3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393150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393150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393150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393150</v>
      </c>
    </row>
    <row r="160" spans="1:9" x14ac:dyDescent="0.2">
      <c r="A160" s="22" t="s">
        <v>36</v>
      </c>
      <c r="B160" s="137">
        <f>'DOE25'!F499</f>
        <v>84418.23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84418.23</v>
      </c>
    </row>
    <row r="161" spans="1:7" x14ac:dyDescent="0.2">
      <c r="A161" s="22" t="s">
        <v>37</v>
      </c>
      <c r="B161" s="137">
        <f>'DOE25'!F500</f>
        <v>477568.23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477568.23</v>
      </c>
    </row>
    <row r="162" spans="1:7" x14ac:dyDescent="0.2">
      <c r="A162" s="22" t="s">
        <v>38</v>
      </c>
      <c r="B162" s="137">
        <f>'DOE25'!F501</f>
        <v>33904.800000000003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33904.800000000003</v>
      </c>
    </row>
    <row r="163" spans="1:7" x14ac:dyDescent="0.2">
      <c r="A163" s="22" t="s">
        <v>39</v>
      </c>
      <c r="B163" s="137">
        <f>'DOE25'!F502</f>
        <v>11794.5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11794.5</v>
      </c>
    </row>
    <row r="164" spans="1:7" x14ac:dyDescent="0.2">
      <c r="A164" s="22" t="s">
        <v>246</v>
      </c>
      <c r="B164" s="137">
        <f>'DOE25'!F503</f>
        <v>45699.3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45699.3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LISBON REGIONAL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13873</v>
      </c>
    </row>
    <row r="5" spans="1:4" x14ac:dyDescent="0.2">
      <c r="B5" t="s">
        <v>703</v>
      </c>
      <c r="C5" s="179">
        <f>IF('DOE25'!G665+'DOE25'!G670=0,0,ROUND('DOE25'!G672,0))</f>
        <v>17741</v>
      </c>
    </row>
    <row r="6" spans="1:4" x14ac:dyDescent="0.2">
      <c r="B6" t="s">
        <v>62</v>
      </c>
      <c r="C6" s="179">
        <f>IF('DOE25'!H665+'DOE25'!H670=0,0,ROUND('DOE25'!H672,0))</f>
        <v>20476</v>
      </c>
    </row>
    <row r="7" spans="1:4" x14ac:dyDescent="0.2">
      <c r="B7" t="s">
        <v>704</v>
      </c>
      <c r="C7" s="179">
        <f>IF('DOE25'!I665+'DOE25'!I670=0,0,ROUND('DOE25'!I672,0))</f>
        <v>16714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2785050</v>
      </c>
      <c r="D10" s="182">
        <f>ROUND((C10/$C$28)*100,1)</f>
        <v>48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731829</v>
      </c>
      <c r="D11" s="182">
        <f>ROUND((C11/$C$28)*100,1)</f>
        <v>12.6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242228</v>
      </c>
      <c r="D12" s="182">
        <f>ROUND((C12/$C$28)*100,1)</f>
        <v>4.2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128970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397066</v>
      </c>
      <c r="D15" s="182">
        <f t="shared" ref="D15:D27" si="0">ROUND((C15/$C$28)*100,1)</f>
        <v>6.8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93700</v>
      </c>
      <c r="D16" s="182">
        <f t="shared" si="0"/>
        <v>1.6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330568</v>
      </c>
      <c r="D17" s="182">
        <f t="shared" si="0"/>
        <v>5.7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399756</v>
      </c>
      <c r="D18" s="182">
        <f t="shared" si="0"/>
        <v>6.9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382394</v>
      </c>
      <c r="D20" s="182">
        <f t="shared" si="0"/>
        <v>6.6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210057</v>
      </c>
      <c r="D21" s="182">
        <f t="shared" si="0"/>
        <v>3.6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682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11322</v>
      </c>
      <c r="D26" s="182">
        <f t="shared" si="0"/>
        <v>0.2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92765.31</v>
      </c>
      <c r="D27" s="182">
        <f t="shared" si="0"/>
        <v>1.6</v>
      </c>
    </row>
    <row r="28" spans="1:4" x14ac:dyDescent="0.2">
      <c r="B28" s="187" t="s">
        <v>722</v>
      </c>
      <c r="C28" s="180">
        <f>SUM(C10:C27)</f>
        <v>5806387.3099999996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5806387.3099999996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2146848</v>
      </c>
      <c r="D35" s="182">
        <f t="shared" ref="D35:D40" si="1">ROUND((C35/$C$41)*100,1)</f>
        <v>36.4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1089696.3600000003</v>
      </c>
      <c r="D36" s="182">
        <f t="shared" si="1"/>
        <v>18.5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2196830</v>
      </c>
      <c r="D37" s="182">
        <f t="shared" si="1"/>
        <v>37.299999999999997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13084</v>
      </c>
      <c r="D38" s="182">
        <f t="shared" si="1"/>
        <v>0.2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443443</v>
      </c>
      <c r="D39" s="182">
        <f t="shared" si="1"/>
        <v>7.5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5889901.3600000003</v>
      </c>
      <c r="D41" s="184">
        <f>SUM(D35:D40)</f>
        <v>99.899999999999991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LISBON REGIONAL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2017-10-09T17:11:42Z</cp:lastPrinted>
  <dcterms:created xsi:type="dcterms:W3CDTF">1997-12-04T19:04:30Z</dcterms:created>
  <dcterms:modified xsi:type="dcterms:W3CDTF">2017-11-29T17:35:42Z</dcterms:modified>
</cp:coreProperties>
</file>