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70" i="1" l="1"/>
  <c r="D9" i="13" l="1"/>
  <c r="B21" i="12" l="1"/>
  <c r="B12" i="12"/>
  <c r="B20" i="12"/>
  <c r="B11" i="12"/>
  <c r="B37" i="12"/>
  <c r="J604" i="1" l="1"/>
  <c r="J243" i="1"/>
  <c r="I243" i="1"/>
  <c r="I604" i="1"/>
  <c r="H604" i="1"/>
  <c r="J239" i="1"/>
  <c r="K239" i="1"/>
  <c r="H368" i="1" l="1"/>
  <c r="G368" i="1"/>
  <c r="F368" i="1"/>
  <c r="H367" i="1"/>
  <c r="G367" i="1"/>
  <c r="F367" i="1"/>
  <c r="G158" i="1"/>
  <c r="I360" i="1"/>
  <c r="H360" i="1"/>
  <c r="G360" i="1"/>
  <c r="F360" i="1"/>
  <c r="K359" i="1"/>
  <c r="I359" i="1"/>
  <c r="H359" i="1"/>
  <c r="G359" i="1"/>
  <c r="F359" i="1"/>
  <c r="K358" i="1"/>
  <c r="I358" i="1"/>
  <c r="H358" i="1"/>
  <c r="G358" i="1"/>
  <c r="F358" i="1"/>
  <c r="G277" i="1"/>
  <c r="H288" i="1"/>
  <c r="F277" i="1"/>
  <c r="I276" i="1"/>
  <c r="G276" i="1"/>
  <c r="F276" i="1"/>
  <c r="F282" i="1"/>
  <c r="G281" i="1"/>
  <c r="F281" i="1"/>
  <c r="F320" i="1"/>
  <c r="G319" i="1"/>
  <c r="F319" i="1"/>
  <c r="G315" i="1"/>
  <c r="F315" i="1"/>
  <c r="H307" i="1"/>
  <c r="G301" i="1"/>
  <c r="F301" i="1"/>
  <c r="G300" i="1"/>
  <c r="F300" i="1"/>
  <c r="G296" i="1"/>
  <c r="F296" i="1"/>
  <c r="I295" i="1"/>
  <c r="F110" i="1"/>
  <c r="F238" i="1"/>
  <c r="I245" i="1"/>
  <c r="H245" i="1"/>
  <c r="H244" i="1"/>
  <c r="H243" i="1"/>
  <c r="G243" i="1"/>
  <c r="F243" i="1"/>
  <c r="I242" i="1"/>
  <c r="H242" i="1"/>
  <c r="K240" i="1"/>
  <c r="I240" i="1"/>
  <c r="H240" i="1"/>
  <c r="G240" i="1"/>
  <c r="F240" i="1"/>
  <c r="I239" i="1"/>
  <c r="H239" i="1"/>
  <c r="G239" i="1"/>
  <c r="F239" i="1"/>
  <c r="J238" i="1"/>
  <c r="I238" i="1"/>
  <c r="H238" i="1"/>
  <c r="G238" i="1"/>
  <c r="I234" i="1"/>
  <c r="G234" i="1"/>
  <c r="F234" i="1"/>
  <c r="G233" i="1"/>
  <c r="F233" i="1"/>
  <c r="J227" i="1"/>
  <c r="I227" i="1"/>
  <c r="H227" i="1"/>
  <c r="H226" i="1"/>
  <c r="I225" i="1"/>
  <c r="H225" i="1"/>
  <c r="G225" i="1"/>
  <c r="F225" i="1"/>
  <c r="I224" i="1"/>
  <c r="H224" i="1"/>
  <c r="K222" i="1"/>
  <c r="I223" i="1"/>
  <c r="H223" i="1"/>
  <c r="G222" i="1"/>
  <c r="F222" i="1"/>
  <c r="I221" i="1"/>
  <c r="H221" i="1"/>
  <c r="G221" i="1"/>
  <c r="F221" i="1"/>
  <c r="J221" i="1"/>
  <c r="J220" i="1"/>
  <c r="I220" i="1"/>
  <c r="H220" i="1"/>
  <c r="G220" i="1"/>
  <c r="F220" i="1"/>
  <c r="I216" i="1"/>
  <c r="H216" i="1"/>
  <c r="J468" i="1"/>
  <c r="G216" i="1" l="1"/>
  <c r="F216" i="1"/>
  <c r="G215" i="1"/>
  <c r="F215" i="1"/>
  <c r="J209" i="1"/>
  <c r="I209" i="1"/>
  <c r="H209" i="1"/>
  <c r="H208" i="1"/>
  <c r="I207" i="1"/>
  <c r="H207" i="1"/>
  <c r="G207" i="1"/>
  <c r="F207" i="1"/>
  <c r="I206" i="1"/>
  <c r="H206" i="1"/>
  <c r="K204" i="1"/>
  <c r="I204" i="1"/>
  <c r="H204" i="1"/>
  <c r="G204" i="1"/>
  <c r="F204" i="1"/>
  <c r="I203" i="1"/>
  <c r="H203" i="1"/>
  <c r="J203" i="1"/>
  <c r="G203" i="1"/>
  <c r="F203" i="1"/>
  <c r="K202" i="1"/>
  <c r="J202" i="1"/>
  <c r="I202" i="1"/>
  <c r="H202" i="1"/>
  <c r="G202" i="1"/>
  <c r="F202" i="1"/>
  <c r="K198" i="1"/>
  <c r="I198" i="1"/>
  <c r="H198" i="1"/>
  <c r="G198" i="1"/>
  <c r="F198" i="1"/>
  <c r="G197" i="1"/>
  <c r="F197" i="1"/>
  <c r="H205" i="1" l="1"/>
  <c r="H241" i="1"/>
  <c r="I205" i="1" l="1"/>
  <c r="H155" i="1" l="1"/>
  <c r="G97" i="1" l="1"/>
  <c r="H22" i="1" l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E122" i="2" s="1"/>
  <c r="L286" i="1"/>
  <c r="L287" i="1"/>
  <c r="L288" i="1"/>
  <c r="L295" i="1"/>
  <c r="L296" i="1"/>
  <c r="L297" i="1"/>
  <c r="L298" i="1"/>
  <c r="C13" i="10" s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C113" i="2" s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L375" i="1"/>
  <c r="L376" i="1"/>
  <c r="F130" i="2" s="1"/>
  <c r="L377" i="1"/>
  <c r="C29" i="10" s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C114" i="2"/>
  <c r="D115" i="2"/>
  <c r="F115" i="2"/>
  <c r="G11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3" i="1" s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70" i="1"/>
  <c r="I476" i="1" s="1"/>
  <c r="H625" i="1" s="1"/>
  <c r="J625" i="1" s="1"/>
  <c r="J470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5" i="1"/>
  <c r="H630" i="1"/>
  <c r="H631" i="1"/>
  <c r="H636" i="1"/>
  <c r="H637" i="1"/>
  <c r="H638" i="1"/>
  <c r="G641" i="1"/>
  <c r="J641" i="1" s="1"/>
  <c r="G643" i="1"/>
  <c r="G644" i="1"/>
  <c r="G645" i="1"/>
  <c r="G652" i="1"/>
  <c r="H652" i="1"/>
  <c r="G653" i="1"/>
  <c r="H653" i="1"/>
  <c r="G654" i="1"/>
  <c r="H654" i="1"/>
  <c r="H655" i="1"/>
  <c r="C26" i="10"/>
  <c r="D91" i="2"/>
  <c r="D19" i="13"/>
  <c r="C19" i="13" s="1"/>
  <c r="I169" i="1"/>
  <c r="G552" i="1"/>
  <c r="J140" i="1"/>
  <c r="F571" i="1"/>
  <c r="I552" i="1"/>
  <c r="K549" i="1"/>
  <c r="K550" i="1"/>
  <c r="H140" i="1"/>
  <c r="H192" i="1"/>
  <c r="L570" i="1"/>
  <c r="G545" i="1"/>
  <c r="H545" i="1"/>
  <c r="K545" i="1" l="1"/>
  <c r="J545" i="1"/>
  <c r="I545" i="1"/>
  <c r="C78" i="2"/>
  <c r="A40" i="12"/>
  <c r="A13" i="12"/>
  <c r="K598" i="1"/>
  <c r="G647" i="1" s="1"/>
  <c r="J655" i="1"/>
  <c r="J634" i="1"/>
  <c r="L362" i="1"/>
  <c r="G472" i="1" s="1"/>
  <c r="H635" i="1" s="1"/>
  <c r="H661" i="1"/>
  <c r="D127" i="2"/>
  <c r="D128" i="2" s="1"/>
  <c r="D145" i="2" s="1"/>
  <c r="F661" i="1"/>
  <c r="E124" i="2"/>
  <c r="E111" i="2"/>
  <c r="E110" i="2"/>
  <c r="L328" i="1"/>
  <c r="E119" i="2"/>
  <c r="E121" i="2"/>
  <c r="E109" i="2"/>
  <c r="E125" i="2"/>
  <c r="H338" i="1"/>
  <c r="H352" i="1" s="1"/>
  <c r="F338" i="1"/>
  <c r="F352" i="1" s="1"/>
  <c r="G651" i="1"/>
  <c r="F112" i="1"/>
  <c r="H408" i="1"/>
  <c r="H644" i="1" s="1"/>
  <c r="L401" i="1"/>
  <c r="C139" i="2" s="1"/>
  <c r="G408" i="1"/>
  <c r="H645" i="1" s="1"/>
  <c r="J645" i="1" s="1"/>
  <c r="L270" i="1"/>
  <c r="J651" i="1"/>
  <c r="H647" i="1"/>
  <c r="C122" i="2"/>
  <c r="C16" i="10"/>
  <c r="L256" i="1"/>
  <c r="C111" i="2"/>
  <c r="L247" i="1"/>
  <c r="C10" i="10"/>
  <c r="C17" i="10"/>
  <c r="G650" i="1"/>
  <c r="J650" i="1" s="1"/>
  <c r="C20" i="10"/>
  <c r="C18" i="10"/>
  <c r="C119" i="2"/>
  <c r="C118" i="2"/>
  <c r="I257" i="1"/>
  <c r="I271" i="1" s="1"/>
  <c r="F257" i="1"/>
  <c r="F271" i="1" s="1"/>
  <c r="C11" i="10"/>
  <c r="L229" i="1"/>
  <c r="G257" i="1"/>
  <c r="G271" i="1" s="1"/>
  <c r="E16" i="13"/>
  <c r="C16" i="13" s="1"/>
  <c r="C125" i="2"/>
  <c r="D14" i="13"/>
  <c r="C14" i="13" s="1"/>
  <c r="C123" i="2"/>
  <c r="E13" i="13"/>
  <c r="C13" i="13" s="1"/>
  <c r="C19" i="10"/>
  <c r="D7" i="13"/>
  <c r="C7" i="13" s="1"/>
  <c r="C15" i="10"/>
  <c r="D6" i="13"/>
  <c r="C6" i="13" s="1"/>
  <c r="A31" i="12"/>
  <c r="C110" i="2"/>
  <c r="H257" i="1"/>
  <c r="H271" i="1" s="1"/>
  <c r="K257" i="1"/>
  <c r="K271" i="1" s="1"/>
  <c r="J257" i="1"/>
  <c r="J271" i="1" s="1"/>
  <c r="C109" i="2"/>
  <c r="D5" i="13"/>
  <c r="C5" i="13" s="1"/>
  <c r="L211" i="1"/>
  <c r="D62" i="2"/>
  <c r="D63" i="2" s="1"/>
  <c r="C91" i="2"/>
  <c r="F169" i="1"/>
  <c r="C70" i="2"/>
  <c r="C35" i="10"/>
  <c r="I460" i="1"/>
  <c r="J639" i="1"/>
  <c r="I446" i="1"/>
  <c r="G642" i="1" s="1"/>
  <c r="C18" i="2"/>
  <c r="J617" i="1"/>
  <c r="J644" i="1"/>
  <c r="J643" i="1"/>
  <c r="E62" i="2"/>
  <c r="E63" i="2" s="1"/>
  <c r="C81" i="2"/>
  <c r="K503" i="1"/>
  <c r="L382" i="1"/>
  <c r="G636" i="1" s="1"/>
  <c r="J636" i="1" s="1"/>
  <c r="E118" i="2"/>
  <c r="D15" i="13"/>
  <c r="C15" i="13" s="1"/>
  <c r="C57" i="2"/>
  <c r="L614" i="1"/>
  <c r="E112" i="2"/>
  <c r="C21" i="10"/>
  <c r="C12" i="10"/>
  <c r="F22" i="13"/>
  <c r="C22" i="13" s="1"/>
  <c r="H112" i="1"/>
  <c r="H193" i="1" s="1"/>
  <c r="D29" i="13"/>
  <c r="C29" i="13" s="1"/>
  <c r="K500" i="1"/>
  <c r="I452" i="1"/>
  <c r="I461" i="1" s="1"/>
  <c r="H642" i="1" s="1"/>
  <c r="J642" i="1" s="1"/>
  <c r="I52" i="1"/>
  <c r="H620" i="1" s="1"/>
  <c r="C121" i="2"/>
  <c r="G661" i="1"/>
  <c r="L290" i="1"/>
  <c r="C62" i="2"/>
  <c r="C63" i="2" s="1"/>
  <c r="F662" i="1"/>
  <c r="I662" i="1" s="1"/>
  <c r="H25" i="13"/>
  <c r="L309" i="1"/>
  <c r="D12" i="13"/>
  <c r="C12" i="13" s="1"/>
  <c r="K338" i="1"/>
  <c r="K352" i="1" s="1"/>
  <c r="H52" i="1"/>
  <c r="H619" i="1" s="1"/>
  <c r="J619" i="1" s="1"/>
  <c r="G112" i="1"/>
  <c r="G649" i="1"/>
  <c r="J649" i="1" s="1"/>
  <c r="L524" i="1"/>
  <c r="J338" i="1"/>
  <c r="J352" i="1" s="1"/>
  <c r="C124" i="2"/>
  <c r="C120" i="2"/>
  <c r="L544" i="1"/>
  <c r="E8" i="13"/>
  <c r="C8" i="13" s="1"/>
  <c r="C32" i="10"/>
  <c r="K551" i="1"/>
  <c r="K552" i="1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C104" i="2" l="1"/>
  <c r="J647" i="1"/>
  <c r="C27" i="10"/>
  <c r="C28" i="10" s="1"/>
  <c r="D22" i="10" s="1"/>
  <c r="G474" i="1"/>
  <c r="G635" i="1"/>
  <c r="J635" i="1" s="1"/>
  <c r="I661" i="1"/>
  <c r="E115" i="2"/>
  <c r="H660" i="1"/>
  <c r="H664" i="1" s="1"/>
  <c r="H667" i="1" s="1"/>
  <c r="E128" i="2"/>
  <c r="G660" i="1"/>
  <c r="G664" i="1" s="1"/>
  <c r="G667" i="1" s="1"/>
  <c r="D31" i="13"/>
  <c r="C31" i="13" s="1"/>
  <c r="F193" i="1"/>
  <c r="F468" i="1" s="1"/>
  <c r="C141" i="2"/>
  <c r="C144" i="2" s="1"/>
  <c r="L257" i="1"/>
  <c r="C128" i="2"/>
  <c r="C115" i="2"/>
  <c r="H648" i="1"/>
  <c r="J648" i="1" s="1"/>
  <c r="F660" i="1"/>
  <c r="F664" i="1" s="1"/>
  <c r="F672" i="1" s="1"/>
  <c r="C4" i="10" s="1"/>
  <c r="G629" i="1"/>
  <c r="H468" i="1"/>
  <c r="E104" i="2"/>
  <c r="D104" i="2"/>
  <c r="C36" i="10"/>
  <c r="F51" i="2"/>
  <c r="L338" i="1"/>
  <c r="C25" i="13"/>
  <c r="H33" i="13"/>
  <c r="L408" i="1"/>
  <c r="L545" i="1"/>
  <c r="E33" i="13"/>
  <c r="D35" i="13" s="1"/>
  <c r="C51" i="2"/>
  <c r="G631" i="1"/>
  <c r="J631" i="1" s="1"/>
  <c r="G193" i="1"/>
  <c r="G626" i="1"/>
  <c r="J626" i="1" s="1"/>
  <c r="J52" i="1"/>
  <c r="H621" i="1" s="1"/>
  <c r="J621" i="1" s="1"/>
  <c r="C38" i="10"/>
  <c r="G627" i="1" l="1"/>
  <c r="G628" i="1"/>
  <c r="G468" i="1"/>
  <c r="H672" i="1"/>
  <c r="C6" i="10" s="1"/>
  <c r="E145" i="2"/>
  <c r="D33" i="13"/>
  <c r="D36" i="13" s="1"/>
  <c r="G672" i="1"/>
  <c r="C5" i="10" s="1"/>
  <c r="L352" i="1"/>
  <c r="G633" i="1" s="1"/>
  <c r="H472" i="1"/>
  <c r="L271" i="1"/>
  <c r="H627" i="1"/>
  <c r="J627" i="1" s="1"/>
  <c r="F470" i="1"/>
  <c r="C145" i="2"/>
  <c r="I660" i="1"/>
  <c r="I664" i="1" s="1"/>
  <c r="I672" i="1" s="1"/>
  <c r="C7" i="10" s="1"/>
  <c r="F667" i="1"/>
  <c r="D17" i="10"/>
  <c r="C30" i="10"/>
  <c r="H470" i="1"/>
  <c r="H629" i="1"/>
  <c r="J629" i="1" s="1"/>
  <c r="D24" i="10"/>
  <c r="D27" i="10"/>
  <c r="D10" i="10"/>
  <c r="D23" i="10"/>
  <c r="D20" i="10"/>
  <c r="D13" i="10"/>
  <c r="D21" i="10"/>
  <c r="D12" i="10"/>
  <c r="D25" i="10"/>
  <c r="D18" i="10"/>
  <c r="D26" i="10"/>
  <c r="D16" i="10"/>
  <c r="G637" i="1"/>
  <c r="J637" i="1" s="1"/>
  <c r="H646" i="1"/>
  <c r="J646" i="1" s="1"/>
  <c r="D15" i="10"/>
  <c r="D19" i="10"/>
  <c r="D11" i="10"/>
  <c r="C41" i="10"/>
  <c r="D38" i="10" s="1"/>
  <c r="G632" i="1" l="1"/>
  <c r="F472" i="1"/>
  <c r="F474" i="1" s="1"/>
  <c r="F476" i="1" s="1"/>
  <c r="H622" i="1" s="1"/>
  <c r="G470" i="1"/>
  <c r="G476" i="1" s="1"/>
  <c r="H623" i="1" s="1"/>
  <c r="J623" i="1" s="1"/>
  <c r="H628" i="1"/>
  <c r="J628" i="1" s="1"/>
  <c r="H474" i="1"/>
  <c r="H476" i="1" s="1"/>
  <c r="H624" i="1" s="1"/>
  <c r="J624" i="1" s="1"/>
  <c r="H633" i="1"/>
  <c r="J633" i="1" s="1"/>
  <c r="I667" i="1"/>
  <c r="D28" i="10"/>
  <c r="D37" i="10"/>
  <c r="D36" i="10"/>
  <c r="D35" i="10"/>
  <c r="D40" i="10"/>
  <c r="D39" i="10"/>
  <c r="H632" i="1" l="1"/>
  <c r="J632" i="1" s="1"/>
  <c r="J622" i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<sst xmlns="http://schemas.openxmlformats.org/spreadsheetml/2006/main" count="3955" uniqueCount="913">
  <si>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</si>
  <si>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</si>
  <si>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</si>
  <si>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</si>
  <si>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</si>
  <si>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</si>
  <si>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</si>
  <si>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</si>
  <si>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</si>
  <si>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</si>
  <si>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</si>
  <si>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</si>
  <si>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</si>
  <si>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</si>
  <si>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</si>
  <si>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</si>
  <si>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</si>
  <si>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</si>
  <si>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</si>
  <si>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</si>
  <si>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</si>
  <si>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</si>
  <si>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</si>
  <si>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</si>
  <si>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</si>
  <si>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</si>
  <si>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</si>
  <si>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</si>
  <si>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</si>
  <si>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</si>
  <si>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</si>
  <si>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</si>
  <si>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</si>
  <si>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</si>
  <si>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</si>
  <si>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</si>
  <si>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</si>
  <si>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</si>
  <si>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</si>
  <si>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</si>
  <si>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</si>
  <si>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</si>
  <si>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</si>
  <si>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</si>
  <si>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</si>
  <si>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</si>
  <si>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</si>
  <si>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</si>
  <si>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</si>
  <si>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</si>
  <si>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</si>
  <si>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</si>
  <si>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</si>
  <si>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</si>
  <si>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</si>
  <si>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</si>
  <si>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</si>
  <si>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</si>
  <si>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</si>
  <si>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</si>
  <si>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</si>
  <si>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</si>
  <si>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</si>
  <si>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</si>
  <si>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</si>
  <si>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</si>
  <si>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</si>
  <si>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</si>
  <si>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</si>
  <si>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</si>
  <si>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</si>
  <si>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</si>
  <si>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</si>
  <si>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</si>
  <si>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</si>
  <si>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</si>
  <si>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</si>
  <si>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</si>
  <si>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</si>
  <si>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</si>
  <si>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</si>
  <si>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</si>
  <si>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</si>
  <si>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</si>
  <si>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</si>
  <si>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</si>
  <si>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</si>
  <si>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</si>
  <si>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</si>
  <si>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</si>
  <si>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</si>
  <si>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</si>
  <si>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</si>
  <si>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</si>
  <si>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</si>
  <si>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</si>
  <si>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</si>
  <si>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</si>
  <si>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</si>
  <si>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</si>
  <si>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</si>
  <si>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</si>
  <si>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</si>
  <si>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</si>
  <si>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</si>
  <si>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</si>
  <si>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</si>
  <si>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</si>
  <si>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</si>
  <si>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</si>
  <si>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</si>
  <si>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</si>
  <si>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</si>
  <si>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</si>
  <si>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</si>
  <si>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</si>
  <si>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</si>
  <si>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</si>
  <si>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</si>
  <si>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</si>
  <si>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</si>
  <si>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</si>
  <si>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</si>
  <si>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</si>
  <si>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</si>
  <si>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</si>
  <si>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</si>
  <si>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</si>
  <si>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</si>
  <si>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</si>
  <si>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</si>
  <si>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</si>
  <si>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</si>
  <si>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</si>
  <si>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</si>
  <si>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</si>
  <si>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</si>
  <si>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</si>
  <si>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</si>
  <si>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</si>
  <si>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</si>
  <si>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</si>
  <si>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</si>
  <si>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</si>
  <si>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</si>
  <si>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</si>
  <si>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</si>
  <si>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</si>
  <si>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</si>
  <si>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</si>
  <si>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</si>
  <si>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</si>
  <si>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</si>
  <si>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</si>
  <si>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</si>
  <si>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</si>
  <si>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</si>
  <si>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</si>
  <si>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</si>
  <si>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</si>
  <si>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</si>
  <si>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</si>
  <si>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</si>
  <si>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</si>
  <si>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</si>
  <si>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</si>
  <si>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</si>
  <si>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</si>
  <si>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</si>
  <si>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</si>
  <si>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</si>
  <si>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</si>
  <si>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</si>
  <si>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</si>
  <si>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</si>
  <si>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</si>
  <si>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</si>
  <si>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</si>
  <si>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</si>
  <si>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</si>
  <si>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</si>
  <si>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</si>
  <si>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</si>
  <si>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</si>
  <si>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</si>
  <si>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</si>
  <si>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</si>
  <si>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</si>
  <si>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</si>
  <si>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</si>
  <si>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</si>
  <si>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</si>
  <si>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</si>
  <si>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</si>
  <si>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</si>
  <si>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</si>
  <si>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</si>
  <si>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</si>
  <si>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</si>
  <si>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</si>
  <si>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</si>
  <si>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</si>
  <si>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</si>
  <si>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</si>
  <si>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</si>
  <si>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</si>
  <si>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</si>
  <si>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</si>
  <si>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</si>
  <si>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</si>
  <si>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</si>
  <si>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</si>
  <si>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</si>
  <si>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</si>
  <si>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</si>
  <si>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</si>
  <si>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</si>
  <si>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</si>
  <si>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</si>
  <si>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</si>
  <si>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</si>
  <si>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</si>
  <si>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</si>
  <si>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</si>
  <si>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</si>
  <si>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</si>
  <si>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</si>
  <si>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</si>
  <si>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</si>
  <si>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</si>
  <si>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</si>
  <si>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</si>
  <si>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</si>
  <si>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</si>
  <si>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</si>
  <si>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</si>
  <si>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</si>
  <si>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</si>
  <si>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</si>
  <si>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</si>
  <si>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</si>
  <si>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</si>
  <si>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</si>
  <si>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</si>
  <si>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</si>
  <si>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</si>
  <si>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</si>
  <si>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</si>
  <si>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</si>
  <si>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</si>
  <si>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</si>
  <si>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</si>
  <si>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</si>
  <si>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</si>
  <si>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</si>
  <si>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</si>
  <si>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</si>
  <si>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</si>
  <si>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</si>
  <si>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</si>
  <si>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</si>
  <si>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</si>
  <si>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</si>
  <si>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</si>
  <si>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</si>
  <si>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</si>
  <si>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</si>
  <si>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</si>
  <si>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</si>
  <si>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</si>
  <si>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</si>
  <si>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</si>
  <si>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</si>
  <si>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</si>
  <si>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</si>
  <si>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</si>
  <si>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</si>
  <si>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</si>
  <si>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</si>
  <si>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</si>
  <si>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</si>
  <si>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</si>
  <si>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</si>
  <si>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</si>
  <si>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</si>
  <si>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</si>
  <si>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</si>
  <si>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</si>
  <si>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</si>
  <si>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</si>
  <si>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</si>
  <si>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</si>
  <si>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</si>
  <si>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</si>
  <si>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</si>
  <si>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</si>
  <si>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</si>
  <si>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</si>
  <si>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</si>
  <si>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</si>
  <si>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</si>
  <si>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</si>
  <si>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</si>
  <si>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</si>
  <si>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</si>
  <si>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</si>
  <si>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</si>
  <si>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</si>
  <si>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</si>
  <si>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</si>
  <si>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</si>
  <si>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</si>
  <si>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</si>
  <si>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</si>
  <si>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</si>
  <si>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</si>
  <si>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</si>
  <si>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</si>
  <si>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</si>
  <si>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</si>
  <si>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</si>
  <si>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</si>
  <si>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</si>
  <si>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</si>
  <si>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</si>
  <si>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</si>
  <si>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</si>
  <si>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</si>
  <si>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</si>
  <si>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</si>
  <si>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</si>
  <si>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</si>
  <si>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</si>
  <si>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</si>
  <si>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</si>
  <si>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</si>
  <si>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</si>
  <si>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</si>
  <si>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</si>
  <si>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</si>
  <si>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</si>
  <si>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</si>
  <si>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</si>
  <si>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</si>
  <si>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</si>
  <si>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</si>
  <si>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</si>
  <si>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</si>
  <si>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</si>
  <si>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</si>
  <si>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</si>
  <si>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</si>
  <si>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</si>
  <si>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</si>
  <si>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</si>
  <si>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</si>
  <si>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</si>
  <si>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</si>
  <si>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</si>
  <si>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</si>
  <si>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</si>
  <si>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</si>
  <si>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</si>
  <si>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</si>
  <si>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</si>
  <si>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</si>
  <si>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</si>
  <si>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</si>
  <si>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</si>
  <si>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</si>
  <si>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</si>
  <si>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</si>
  <si>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</si>
  <si>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</si>
  <si>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</si>
  <si>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</si>
  <si>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</si>
  <si>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</si>
  <si>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</si>
  <si>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</si>
  <si>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</si>
  <si>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</si>
  <si>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</si>
  <si>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</si>
  <si>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</si>
  <si>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</si>
  <si>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</si>
  <si>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</si>
  <si>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</si>
  <si>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</si>
  <si>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</si>
  <si>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</si>
  <si>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</si>
  <si>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</si>
  <si>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</si>
  <si>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</si>
  <si>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</si>
  <si>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</si>
  <si>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</si>
  <si>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</si>
  <si>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</si>
  <si>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</si>
  <si>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</si>
  <si>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</si>
  <si>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</si>
  <si>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</si>
  <si>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</si>
  <si>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</si>
  <si>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</si>
  <si>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</si>
  <si>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</si>
  <si>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</si>
  <si>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</si>
  <si>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</si>
  <si>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</si>
  <si>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</si>
  <si>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</si>
  <si>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</si>
  <si>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</si>
  <si>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</si>
  <si>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</si>
  <si>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</si>
  <si>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</si>
  <si>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</si>
  <si>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</si>
  <si>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</si>
  <si>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</si>
  <si>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</si>
  <si>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</si>
  <si>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</si>
  <si>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</si>
  <si>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</si>
  <si>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</si>
  <si>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</si>
  <si>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</si>
  <si>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</si>
  <si>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</si>
  <si>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</si>
  <si>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</si>
  <si>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</si>
  <si>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</si>
  <si>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</si>
  <si>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</si>
  <si>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</si>
  <si>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</si>
  <si>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</si>
  <si>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</si>
  <si>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</si>
  <si>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</si>
  <si>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</si>
  <si>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</si>
  <si>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</si>
  <si>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</si>
  <si>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</si>
  <si>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</si>
  <si>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</si>
  <si>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</si>
  <si>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</si>
  <si>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</si>
  <si>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</si>
  <si>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</si>
  <si>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</si>
  <si>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</si>
  <si>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</si>
  <si>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</si>
  <si>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</si>
  <si>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</si>
  <si>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</si>
  <si>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</si>
  <si>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</si>
  <si>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</si>
  <si>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</si>
  <si>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</si>
  <si>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</si>
  <si>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</si>
  <si>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</si>
  <si>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</si>
  <si>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</si>
  <si>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</si>
  <si>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</si>
  <si>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</si>
  <si>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</si>
  <si>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</si>
  <si>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</si>
  <si>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</si>
  <si>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</si>
  <si>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</si>
  <si>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</si>
  <si>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</si>
  <si>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</si>
  <si>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</si>
  <si>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</si>
  <si>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</si>
  <si>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</si>
  <si>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</si>
  <si>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</si>
  <si>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</si>
  <si>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</si>
  <si>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</si>
  <si>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</si>
  <si>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</si>
  <si>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</si>
  <si>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</si>
  <si>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</si>
  <si>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</si>
  <si>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</si>
  <si>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</si>
  <si>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</si>
  <si>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</si>
  <si>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</si>
  <si>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</si>
  <si>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</si>
  <si>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</si>
  <si>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</si>
  <si>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</si>
  <si>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</si>
  <si>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</si>
  <si>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</si>
  <si>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</si>
  <si>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</si>
  <si>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</si>
  <si>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</si>
  <si>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</si>
  <si>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</si>
  <si>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</si>
  <si>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</si>
  <si>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</si>
  <si>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</si>
  <si>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</si>
  <si>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</si>
  <si>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</si>
  <si>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</si>
  <si>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</si>
  <si>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</si>
  <si>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</si>
  <si>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</si>
  <si>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</si>
  <si>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</si>
  <si>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</si>
  <si>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</si>
  <si>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</si>
  <si>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</si>
  <si>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</si>
  <si>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</si>
  <si>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</si>
  <si>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</si>
  <si>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</si>
  <si>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</si>
  <si>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</si>
  <si>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</si>
  <si>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</si>
  <si>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</si>
  <si>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</si>
  <si>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</si>
  <si>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</si>
  <si>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</si>
  <si>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</si>
  <si>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</si>
  <si>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</si>
  <si>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</si>
  <si>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</si>
  <si>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</si>
  <si>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</si>
  <si>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</si>
  <si>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</si>
  <si>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</si>
  <si>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</si>
  <si>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</si>
  <si>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</si>
  <si>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</si>
  <si>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</si>
  <si>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</si>
  <si>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</si>
  <si>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</si>
  <si>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</si>
  <si>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</si>
  <si>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</si>
  <si>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</si>
  <si>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</si>
  <si>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</si>
  <si>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</si>
  <si>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</si>
  <si>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</si>
  <si>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</si>
  <si>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</si>
  <si>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</si>
  <si>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</si>
  <si>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</si>
  <si>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</si>
  <si>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</si>
  <si>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</si>
  <si>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</si>
  <si>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</si>
  <si>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</si>
  <si>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</si>
  <si>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</si>
  <si>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</si>
  <si>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</si>
  <si>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</si>
  <si>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</si>
  <si>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</si>
  <si>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</si>
  <si>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</si>
  <si>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</si>
  <si>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</si>
  <si>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</si>
  <si>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</si>
  <si>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</si>
  <si>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</si>
  <si>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</si>
  <si>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</si>
  <si>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</si>
  <si>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</si>
  <si>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</si>
  <si>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</si>
  <si>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</si>
  <si>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</si>
  <si>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</si>
  <si>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</si>
  <si>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</si>
  <si>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</si>
  <si>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</si>
  <si>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</si>
  <si>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</si>
  <si>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</si>
  <si>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</si>
  <si>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</si>
  <si>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</si>
  <si>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</si>
  <si>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</si>
  <si>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</si>
  <si>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</si>
  <si>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</si>
  <si>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</si>
  <si>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</si>
  <si>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</si>
  <si>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</si>
  <si>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</si>
  <si>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</si>
  <si>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</si>
  <si>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</si>
  <si>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</si>
  <si>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</si>
  <si>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</si>
  <si>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</si>
  <si>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</si>
  <si>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</si>
  <si>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</si>
  <si>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</si>
  <si>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</si>
  <si>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</si>
  <si>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</si>
  <si>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</si>
  <si>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</si>
  <si>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</si>
  <si>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</si>
  <si>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</si>
  <si>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</si>
  <si>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</si>
  <si>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</si>
  <si>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</si>
  <si>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</si>
  <si>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</si>
  <si>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</si>
  <si>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</si>
  <si>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</si>
  <si>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</si>
  <si>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</si>
  <si>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</si>
  <si>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</si>
  <si>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</si>
  <si>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</si>
  <si>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</si>
  <si>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</si>
  <si>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</si>
  <si>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</si>
  <si>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</si>
  <si>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</si>
  <si>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</si>
  <si>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</si>
  <si>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</si>
  <si>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</si>
  <si>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</si>
  <si>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</si>
  <si>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</si>
  <si>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</si>
  <si>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</si>
  <si>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</si>
  <si>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</si>
  <si>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</si>
  <si>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</si>
  <si>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</si>
  <si>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</si>
  <si>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</si>
  <si>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</si>
  <si>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</si>
  <si>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</si>
  <si>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</si>
  <si>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</si>
  <si>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</si>
  <si>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</si>
  <si>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</si>
  <si>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</si>
  <si>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</si>
  <si>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</si>
  <si>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</si>
  <si>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</si>
  <si>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</si>
  <si>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</si>
  <si>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</si>
  <si>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</si>
  <si>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</si>
  <si>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</si>
  <si>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</si>
  <si>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</si>
  <si>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</si>
  <si>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</si>
  <si>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</si>
  <si>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</si>
  <si>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</si>
  <si>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</si>
  <si>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</si>
  <si>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</si>
  <si>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</si>
  <si>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</si>
  <si>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</si>
  <si>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</si>
  <si>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</si>
  <si>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</si>
  <si>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</si>
  <si>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</si>
  <si>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</si>
  <si>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</si>
  <si>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</si>
  <si>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</si>
  <si>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</si>
  <si>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</si>
  <si>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</si>
  <si>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</si>
  <si>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</si>
  <si>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</si>
  <si>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</si>
  <si>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</si>
  <si>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</si>
  <si>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</si>
  <si>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</si>
  <si>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</si>
  <si>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</si>
  <si>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</si>
  <si>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</si>
  <si>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</si>
  <si>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</si>
  <si>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</si>
  <si>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</si>
  <si>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</si>
  <si>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</si>
  <si>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</si>
  <si>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</si>
  <si>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</si>
  <si>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</si>
  <si>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</si>
  <si>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</si>
  <si>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</si>
  <si>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</si>
  <si>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</si>
  <si>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</si>
  <si>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</si>
  <si>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</si>
  <si>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</si>
  <si>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</si>
  <si>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</si>
  <si>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</si>
  <si>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</si>
  <si>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</si>
  <si>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</si>
  <si>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</si>
  <si>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</si>
  <si>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</si>
  <si>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</si>
  <si>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</si>
  <si>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</si>
  <si>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</si>
  <si>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</si>
  <si>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</si>
  <si>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</si>
  <si>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</si>
  <si>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</si>
  <si>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</si>
  <si>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</si>
  <si>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</si>
  <si>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</si>
  <si>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</si>
  <si>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</si>
  <si>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</si>
  <si>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</si>
  <si>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</si>
  <si>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</si>
  <si>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</si>
  <si>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</si>
  <si>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</si>
  <si>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</si>
  <si>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</si>
  <si>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</si>
  <si>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</si>
  <si>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</si>
  <si>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</si>
  <si>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</si>
  <si>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</si>
  <si>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</si>
  <si>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</si>
  <si>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</si>
  <si>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</si>
  <si>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</si>
  <si>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</si>
  <si>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</si>
  <si>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</si>
  <si>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</si>
  <si>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</si>
  <si>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</si>
  <si>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</si>
  <si>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</si>
  <si>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</si>
  <si>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</si>
  <si>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</si>
  <si>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</si>
  <si>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</si>
  <si>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</si>
  <si>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</si>
  <si>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</si>
  <si>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</si>
  <si>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</si>
  <si>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</si>
  <si>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</si>
  <si>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</si>
  <si>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</si>
  <si>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</si>
  <si>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</si>
  <si>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</si>
  <si>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</si>
  <si>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</si>
  <si>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</si>
  <si>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</si>
  <si>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</si>
  <si>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</si>
  <si>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</si>
  <si>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</si>
  <si>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</si>
  <si>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</si>
  <si>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</si>
  <si>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</si>
  <si>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</si>
  <si>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</si>
  <si>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</si>
  <si>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</si>
  <si>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</si>
  <si>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</si>
  <si>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</si>
  <si>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</si>
  <si>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</si>
  <si>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</si>
  <si>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</si>
  <si>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</si>
  <si>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</si>
  <si>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</si>
  <si>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</si>
  <si>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</si>
  <si>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</si>
  <si>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</si>
  <si>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</si>
  <si>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</si>
  <si>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</si>
  <si>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</si>
  <si>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</si>
  <si>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</si>
  <si>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</si>
  <si>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</si>
  <si>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</si>
  <si>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</si>
  <si>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</si>
  <si>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</si>
  <si>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</si>
  <si>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</si>
  <si>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</si>
  <si>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</si>
  <si>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</si>
  <si>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</si>
  <si>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</si>
  <si>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</si>
  <si>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</si>
  <si>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</si>
  <si>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</si>
  <si>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</si>
  <si>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</si>
  <si>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</si>
  <si>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</si>
  <si>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</si>
  <si>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</si>
  <si>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</si>
  <si>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</si>
  <si>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</si>
  <si>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</si>
  <si>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</si>
  <si>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</si>
  <si>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</si>
  <si>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</si>
  <si>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</si>
  <si>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</si>
  <si>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</si>
  <si>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</si>
  <si>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</si>
  <si>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</si>
  <si>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</si>
  <si>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LITCHFIELD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</si>
</sst>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5" zoomScaleNormal="115"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F48" sqref="F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315</v>
      </c>
      <c r="C2" s="21">
        <v>315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1378718.36</v>
      </c>
      <c r="G9" s="18">
        <v>90540.87</v>
      </c>
      <c r="H9" s="18">
        <v>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4614.05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5959.43</v>
      </c>
      <c r="H13" s="18">
        <v>87256.67</v>
      </c>
      <c r="I13" s="18"/>
      <c r="J13" s="67">
        <f>SUM(I442)</f>
        <v>255704.56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1650.67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1384983.08</v>
      </c>
      <c r="G19" s="41">
        <f>SUM(G9:G18)</f>
        <v>96500.299999999988</v>
      </c>
      <c r="H19" s="41">
        <f>SUM(H9:H18)</f>
        <v>87256.67</v>
      </c>
      <c r="I19" s="41">
        <f>SUM(I9:I18)</f>
        <v>0</v>
      </c>
      <c r="J19" s="41">
        <f>SUM(J9:J18)</f>
        <v>255704.56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f>31498.61+4614.05</f>
        <v>36112.660000000003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43888.32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35473.410000000003</v>
      </c>
      <c r="G28" s="18">
        <v>36.19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571675.03+1099.1+74126.3+8416.41+108.2+38.54+2895.58+5142.44</f>
        <v>663501.6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13861.25</v>
      </c>
      <c r="H30" s="18">
        <v>51144.01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742863.33</v>
      </c>
      <c r="G32" s="41">
        <f>SUM(G22:G31)</f>
        <v>13897.44</v>
      </c>
      <c r="H32" s="41">
        <f>SUM(H22:H31)</f>
        <v>87256.670000000013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82602.86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75000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255704.56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82788.83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484330.92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642119.75</v>
      </c>
      <c r="G51" s="41">
        <f>SUM(G35:G50)</f>
        <v>82602.86</v>
      </c>
      <c r="H51" s="41">
        <f>SUM(H35:H50)</f>
        <v>0</v>
      </c>
      <c r="I51" s="41">
        <f>SUM(I35:I50)</f>
        <v>0</v>
      </c>
      <c r="J51" s="41">
        <f>SUM(J35:J50)</f>
        <v>255704.56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1384983.08</v>
      </c>
      <c r="G52" s="41">
        <f>G51+G32</f>
        <v>96500.3</v>
      </c>
      <c r="H52" s="41">
        <f>H51+H32</f>
        <v>87256.670000000013</v>
      </c>
      <c r="I52" s="41">
        <f>I51+I32</f>
        <v>0</v>
      </c>
      <c r="J52" s="41">
        <f>J51+J32</f>
        <v>255704.56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12328478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12328478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30672.5</v>
      </c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15015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45687.5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9070.89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9070.89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983.63</v>
      </c>
      <c r="G96" s="18">
        <v>9.24</v>
      </c>
      <c r="H96" s="18"/>
      <c r="I96" s="18"/>
      <c r="J96" s="18">
        <v>465.41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-9.24+384660.96</f>
        <v>384651.72000000003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900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-125+41376.01+0.13+44.92</f>
        <v>41296.06</v>
      </c>
      <c r="G110" s="18"/>
      <c r="H110" s="18">
        <v>21147.56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43179.689999999995</v>
      </c>
      <c r="G111" s="41">
        <f>SUM(G96:G110)</f>
        <v>384660.96</v>
      </c>
      <c r="H111" s="41">
        <f>SUM(H96:H110)</f>
        <v>21147.56</v>
      </c>
      <c r="I111" s="41">
        <f>SUM(I96:I110)</f>
        <v>0</v>
      </c>
      <c r="J111" s="41">
        <f>SUM(J96:J110)</f>
        <v>465.41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12426416.08</v>
      </c>
      <c r="G112" s="41">
        <f>G60+G111</f>
        <v>384660.96</v>
      </c>
      <c r="H112" s="41">
        <f>H60+H79+H94+H111</f>
        <v>21147.56</v>
      </c>
      <c r="I112" s="41">
        <f>I60+I111</f>
        <v>0</v>
      </c>
      <c r="J112" s="41">
        <f>J60+J111</f>
        <v>465.41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5513558.7400000002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1977558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7491116.7400000002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92717.13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9315.89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2437.5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5437.95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104470.52</v>
      </c>
      <c r="G136" s="41">
        <f>SUM(G123:G135)</f>
        <v>5437.95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7595587.2599999998</v>
      </c>
      <c r="G140" s="41">
        <f>G121+SUM(G136:G137)</f>
        <v>5437.95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71346.42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2808.87+54701.76</f>
        <v>57510.630000000005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78829.12+23045.49+859.45</f>
        <v>102734.06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322378.23999999999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127850.24000000001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127850.24000000001</v>
      </c>
      <c r="G162" s="41">
        <f>SUM(G150:G161)</f>
        <v>102734.06</v>
      </c>
      <c r="H162" s="41">
        <f>SUM(H150:H161)</f>
        <v>451235.29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127850.24000000001</v>
      </c>
      <c r="G169" s="41">
        <f>G147+G162+SUM(G163:G168)</f>
        <v>102734.06</v>
      </c>
      <c r="H169" s="41">
        <f>H147+H162+SUM(H163:H168)</f>
        <v>451235.29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20149853.579999998</v>
      </c>
      <c r="G193" s="47">
        <f>G112+G140+G169+G192</f>
        <v>492832.97000000003</v>
      </c>
      <c r="H193" s="47">
        <f>H112+H140+H169+H192</f>
        <v>472382.85</v>
      </c>
      <c r="I193" s="47">
        <f>I112+I140+I169+I192</f>
        <v>0</v>
      </c>
      <c r="J193" s="47">
        <f>J112+J140+J192</f>
        <v>100465.41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67266.02+1565765.78</f>
        <v>1633031.8</v>
      </c>
      <c r="G197" s="18">
        <f>12940.71+729829.61</f>
        <v>742770.32</v>
      </c>
      <c r="H197" s="18">
        <v>20713.72</v>
      </c>
      <c r="I197" s="18">
        <v>60215.89</v>
      </c>
      <c r="J197" s="18">
        <v>2180.59</v>
      </c>
      <c r="K197" s="18">
        <v>129</v>
      </c>
      <c r="L197" s="19">
        <f>SUM(F197:K197)</f>
        <v>2459041.3200000003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50158.46+773732.35</f>
        <v>823890.80999999994</v>
      </c>
      <c r="G198" s="18">
        <f>6892.88+219355.39</f>
        <v>226248.27000000002</v>
      </c>
      <c r="H198" s="18">
        <f>230586.75+1400.39</f>
        <v>231987.14</v>
      </c>
      <c r="I198" s="18">
        <f>5326.61+124.63</f>
        <v>5451.24</v>
      </c>
      <c r="J198" s="18">
        <v>8544.64</v>
      </c>
      <c r="K198" s="18">
        <f>6729.63+856.85</f>
        <v>7586.4800000000005</v>
      </c>
      <c r="L198" s="19">
        <f>SUM(F198:K198)</f>
        <v>1303708.58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11742.92</v>
      </c>
      <c r="G200" s="18">
        <v>2375.09</v>
      </c>
      <c r="H200" s="18">
        <v>0</v>
      </c>
      <c r="I200" s="18">
        <v>2227.1799999999998</v>
      </c>
      <c r="J200" s="18">
        <v>0</v>
      </c>
      <c r="K200" s="18">
        <v>0</v>
      </c>
      <c r="L200" s="19">
        <f>SUM(F200:K200)</f>
        <v>16345.19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149982.4+133489.49</f>
        <v>283471.89</v>
      </c>
      <c r="G202" s="18">
        <f>55534.97+61881.79</f>
        <v>117416.76000000001</v>
      </c>
      <c r="H202" s="18">
        <f>18596.6+600</f>
        <v>19196.599999999999</v>
      </c>
      <c r="I202" s="18">
        <f>1399.23+2097.08</f>
        <v>3496.31</v>
      </c>
      <c r="J202" s="18">
        <f>35.58+438.86</f>
        <v>474.44</v>
      </c>
      <c r="K202" s="18">
        <f>50</f>
        <v>50</v>
      </c>
      <c r="L202" s="19">
        <f t="shared" ref="L202:L208" si="0">SUM(F202:K202)</f>
        <v>424106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31657.64+3141.45+72654.82</f>
        <v>107453.91</v>
      </c>
      <c r="G203" s="18">
        <f>3240.24+16052.97+25503.16</f>
        <v>44796.369999999995</v>
      </c>
      <c r="H203" s="18">
        <f>420.56+1390.27+7826.78</f>
        <v>9637.61</v>
      </c>
      <c r="I203" s="18">
        <f>53955.06+24033.08+1014.93</f>
        <v>79003.069999999992</v>
      </c>
      <c r="J203" s="18">
        <f>1622.2+1678.25</f>
        <v>3300.45</v>
      </c>
      <c r="K203" s="18">
        <v>447.73</v>
      </c>
      <c r="L203" s="19">
        <f t="shared" si="0"/>
        <v>244639.14000000004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10510.99+106083.05</f>
        <v>116594.04000000001</v>
      </c>
      <c r="G204" s="18">
        <f>36889.71+4261.64</f>
        <v>41151.35</v>
      </c>
      <c r="H204" s="18">
        <f>7602.48+29761.79</f>
        <v>37364.270000000004</v>
      </c>
      <c r="I204" s="18">
        <f>1088.87+57.19</f>
        <v>1146.06</v>
      </c>
      <c r="J204" s="18">
        <v>128.88</v>
      </c>
      <c r="K204" s="18">
        <f>1509.71+1912.76</f>
        <v>3422.4700000000003</v>
      </c>
      <c r="L204" s="19">
        <f t="shared" si="0"/>
        <v>199807.07000000004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245471.91</v>
      </c>
      <c r="G205" s="18">
        <v>108378.1</v>
      </c>
      <c r="H205" s="18">
        <f>162.03+4122.25</f>
        <v>4284.28</v>
      </c>
      <c r="I205" s="18">
        <f>309.31+1941.89</f>
        <v>2251.2000000000003</v>
      </c>
      <c r="J205" s="18">
        <v>0</v>
      </c>
      <c r="K205" s="18">
        <v>3103.1</v>
      </c>
      <c r="L205" s="19">
        <f t="shared" si="0"/>
        <v>363488.59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58959.45</v>
      </c>
      <c r="G206" s="18">
        <v>32203.45</v>
      </c>
      <c r="H206" s="18">
        <f>13739.95-60.9-1197.7</f>
        <v>12481.35</v>
      </c>
      <c r="I206" s="18">
        <f>1197.7+60.9</f>
        <v>1258.6000000000001</v>
      </c>
      <c r="J206" s="18">
        <v>0</v>
      </c>
      <c r="K206" s="18">
        <v>651.80999999999995</v>
      </c>
      <c r="L206" s="19">
        <f t="shared" si="0"/>
        <v>105554.66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9793.38+188273.14</f>
        <v>198066.52000000002</v>
      </c>
      <c r="G207" s="18">
        <f>5874.9+97945.76</f>
        <v>103820.65999999999</v>
      </c>
      <c r="H207" s="18">
        <f>51782.2+130800.49</f>
        <v>182582.69</v>
      </c>
      <c r="I207" s="18">
        <f>1555.16+125496.97</f>
        <v>127052.13</v>
      </c>
      <c r="J207" s="18">
        <v>896.2</v>
      </c>
      <c r="K207" s="18">
        <v>0</v>
      </c>
      <c r="L207" s="19">
        <f t="shared" si="0"/>
        <v>612418.19999999995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f>322122.35+742.34</f>
        <v>322864.69</v>
      </c>
      <c r="I208" s="18">
        <v>0</v>
      </c>
      <c r="J208" s="18">
        <v>0</v>
      </c>
      <c r="K208" s="18">
        <v>0</v>
      </c>
      <c r="L208" s="19">
        <f t="shared" si="0"/>
        <v>322864.69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82871.14</v>
      </c>
      <c r="G209" s="18">
        <v>46655.31</v>
      </c>
      <c r="H209" s="18">
        <f>27948.11+26970.52</f>
        <v>54918.630000000005</v>
      </c>
      <c r="I209" s="18">
        <f>7293.43+10653.94</f>
        <v>17947.370000000003</v>
      </c>
      <c r="J209" s="18">
        <f>43847.28+3919.5</f>
        <v>47766.78</v>
      </c>
      <c r="K209" s="18">
        <v>429.77</v>
      </c>
      <c r="L209" s="19">
        <f>SUM(F209:K209)</f>
        <v>250589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3561554.3900000006</v>
      </c>
      <c r="G211" s="41">
        <f t="shared" si="1"/>
        <v>1465815.6800000002</v>
      </c>
      <c r="H211" s="41">
        <f t="shared" si="1"/>
        <v>896030.9800000001</v>
      </c>
      <c r="I211" s="41">
        <f t="shared" si="1"/>
        <v>300049.05000000005</v>
      </c>
      <c r="J211" s="41">
        <f t="shared" si="1"/>
        <v>63291.979999999996</v>
      </c>
      <c r="K211" s="41">
        <f t="shared" si="1"/>
        <v>15820.36</v>
      </c>
      <c r="L211" s="41">
        <f t="shared" si="1"/>
        <v>6302562.4400000004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69437.23+1750696.91</f>
        <v>1820134.14</v>
      </c>
      <c r="G215" s="18">
        <f>13358.41+847360.51</f>
        <v>860718.92</v>
      </c>
      <c r="H215" s="18">
        <v>18910.07</v>
      </c>
      <c r="I215" s="18">
        <v>74252.289999999994</v>
      </c>
      <c r="J215" s="18">
        <v>3137.17</v>
      </c>
      <c r="K215" s="18">
        <v>279</v>
      </c>
      <c r="L215" s="19">
        <f>SUM(F215:K215)</f>
        <v>2777431.59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34489.57+394257.02</f>
        <v>428746.59</v>
      </c>
      <c r="G216" s="18">
        <f>4739.63+95736.01</f>
        <v>100475.64</v>
      </c>
      <c r="H216" s="18">
        <f>158554.27+334.99</f>
        <v>158889.25999999998</v>
      </c>
      <c r="I216" s="18">
        <f>85.69+1937.61</f>
        <v>2023.3</v>
      </c>
      <c r="J216" s="18">
        <v>3596.03</v>
      </c>
      <c r="K216" s="18">
        <v>4627.38</v>
      </c>
      <c r="L216" s="19">
        <f>SUM(F216:K216)</f>
        <v>698358.20000000007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49688.85</v>
      </c>
      <c r="G218" s="18">
        <v>9371.85</v>
      </c>
      <c r="H218" s="18">
        <v>4293.5</v>
      </c>
      <c r="I218" s="18">
        <v>3440.02</v>
      </c>
      <c r="J218" s="18">
        <v>0</v>
      </c>
      <c r="K218" s="18">
        <v>1085</v>
      </c>
      <c r="L218" s="19">
        <f>SUM(F218:K218)</f>
        <v>67879.22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154823.54+197468.63</f>
        <v>352292.17000000004</v>
      </c>
      <c r="G220" s="18">
        <f>57327.53+92437.66</f>
        <v>149765.19</v>
      </c>
      <c r="H220" s="18">
        <f>19196.86+2321.31</f>
        <v>21518.170000000002</v>
      </c>
      <c r="I220" s="18">
        <f>1444.4+4356.27</f>
        <v>5800.67</v>
      </c>
      <c r="J220" s="18">
        <f>36.73+135.27</f>
        <v>172</v>
      </c>
      <c r="K220" s="18">
        <v>0</v>
      </c>
      <c r="L220" s="19">
        <f t="shared" ref="L220:L226" si="2">SUM(F220:K220)</f>
        <v>529548.20000000007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32679.49+56290+3242.85</f>
        <v>92212.340000000011</v>
      </c>
      <c r="G221" s="18">
        <f>3344.83+35613.25+16571.13</f>
        <v>55529.210000000006</v>
      </c>
      <c r="H221" s="18">
        <f>434.13+2184.97+8079.41</f>
        <v>10698.51</v>
      </c>
      <c r="I221" s="18">
        <f>55696.63+20112.45+1047.69</f>
        <v>76856.77</v>
      </c>
      <c r="J221" s="18">
        <f>1674.56+2896.01</f>
        <v>4570.57</v>
      </c>
      <c r="K221" s="18">
        <v>462.18</v>
      </c>
      <c r="L221" s="19">
        <f t="shared" si="2"/>
        <v>240329.58000000002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109507.2+10850.26</f>
        <v>120357.45999999999</v>
      </c>
      <c r="G222" s="18">
        <f>38080.44+4399.19</f>
        <v>42479.630000000005</v>
      </c>
      <c r="H222" s="18">
        <v>30722.44</v>
      </c>
      <c r="I222" s="18">
        <v>59.03</v>
      </c>
      <c r="J222" s="18">
        <v>0</v>
      </c>
      <c r="K222" s="18">
        <f>1974.5+1558.44</f>
        <v>3532.94</v>
      </c>
      <c r="L222" s="19">
        <f t="shared" si="2"/>
        <v>197151.5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284350.58</v>
      </c>
      <c r="G223" s="18">
        <v>130108.59</v>
      </c>
      <c r="H223" s="18">
        <f>7847.88+6099.87</f>
        <v>13947.75</v>
      </c>
      <c r="I223" s="18">
        <f>1124.02+1813.16</f>
        <v>2937.1800000000003</v>
      </c>
      <c r="J223" s="18">
        <v>133.04</v>
      </c>
      <c r="K223" s="18">
        <v>7571.89</v>
      </c>
      <c r="L223" s="19">
        <f t="shared" si="2"/>
        <v>439049.03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60862.54</v>
      </c>
      <c r="G224" s="18">
        <v>33242.910000000003</v>
      </c>
      <c r="H224" s="18">
        <f>14183.45-62.86-1236.36</f>
        <v>12884.23</v>
      </c>
      <c r="I224" s="18">
        <f>62.86+1236.36</f>
        <v>1299.2199999999998</v>
      </c>
      <c r="J224" s="18">
        <v>0</v>
      </c>
      <c r="K224" s="18">
        <v>672.85</v>
      </c>
      <c r="L224" s="19">
        <f t="shared" si="2"/>
        <v>108961.75000000001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10109.49+139203.98</f>
        <v>149313.47</v>
      </c>
      <c r="G225" s="18">
        <f>6064.54+70232.02</f>
        <v>76296.56</v>
      </c>
      <c r="H225" s="18">
        <f>53453.63+176539.19</f>
        <v>229992.82</v>
      </c>
      <c r="I225" s="18">
        <f>1605.36+135668.62</f>
        <v>137273.97999999998</v>
      </c>
      <c r="J225" s="18">
        <v>465.98</v>
      </c>
      <c r="K225" s="18">
        <v>0</v>
      </c>
      <c r="L225" s="19">
        <f t="shared" si="2"/>
        <v>593342.80999999994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f>276011.49+14508.87</f>
        <v>290520.36</v>
      </c>
      <c r="I226" s="18">
        <v>0</v>
      </c>
      <c r="J226" s="18">
        <v>0</v>
      </c>
      <c r="K226" s="18">
        <v>0</v>
      </c>
      <c r="L226" s="19">
        <f t="shared" si="2"/>
        <v>290520.36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85546.06</v>
      </c>
      <c r="G227" s="18">
        <v>48161.26</v>
      </c>
      <c r="H227" s="18">
        <f>28850.22+34254.68</f>
        <v>63104.9</v>
      </c>
      <c r="I227" s="18">
        <f>7528.85+8920</f>
        <v>16448.849999999999</v>
      </c>
      <c r="J227" s="18">
        <f>45262.59+7371.46</f>
        <v>52634.049999999996</v>
      </c>
      <c r="K227" s="18">
        <v>443.64</v>
      </c>
      <c r="L227" s="19">
        <f>SUM(F227:K227)</f>
        <v>266338.76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3443504.2</v>
      </c>
      <c r="G229" s="41">
        <f>SUM(G215:G228)</f>
        <v>1506149.76</v>
      </c>
      <c r="H229" s="41">
        <f>SUM(H215:H228)</f>
        <v>855482.01</v>
      </c>
      <c r="I229" s="41">
        <f>SUM(I215:I228)</f>
        <v>320391.30999999994</v>
      </c>
      <c r="J229" s="41">
        <f>SUM(J215:J228)</f>
        <v>64708.84</v>
      </c>
      <c r="K229" s="41">
        <f t="shared" si="3"/>
        <v>18674.879999999997</v>
      </c>
      <c r="L229" s="41">
        <f t="shared" si="3"/>
        <v>6208911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72067.75+1793339.77</f>
        <v>1865407.52</v>
      </c>
      <c r="G233" s="18">
        <f>13864.47+745234.22</f>
        <v>759098.69</v>
      </c>
      <c r="H233" s="18">
        <v>30271.19</v>
      </c>
      <c r="I233" s="18">
        <v>78440.850000000006</v>
      </c>
      <c r="J233" s="18">
        <v>28386.22</v>
      </c>
      <c r="K233" s="18">
        <v>2551.2800000000002</v>
      </c>
      <c r="L233" s="19">
        <f>SUM(F233:K233)</f>
        <v>2764155.75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27915.84+537738.75</f>
        <v>565654.59</v>
      </c>
      <c r="G234" s="18">
        <f>3836.25+144559.51</f>
        <v>148395.76</v>
      </c>
      <c r="H234" s="18">
        <v>128333.74</v>
      </c>
      <c r="I234" s="18">
        <f>69.36+3995.22</f>
        <v>4064.58</v>
      </c>
      <c r="J234" s="18">
        <v>3527.72</v>
      </c>
      <c r="K234" s="18">
        <v>3745.4</v>
      </c>
      <c r="L234" s="19">
        <f>SUM(F234:K234)</f>
        <v>853721.78999999992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28713.84</v>
      </c>
      <c r="I235" s="18">
        <v>0</v>
      </c>
      <c r="J235" s="18">
        <v>0</v>
      </c>
      <c r="K235" s="18">
        <v>0</v>
      </c>
      <c r="L235" s="19">
        <f>SUM(F235:K235)</f>
        <v>28713.84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221580.05</v>
      </c>
      <c r="G236" s="18">
        <v>55701.5</v>
      </c>
      <c r="H236" s="18">
        <v>56935.26</v>
      </c>
      <c r="I236" s="18">
        <v>41923.589999999997</v>
      </c>
      <c r="J236" s="18">
        <v>1936.92</v>
      </c>
      <c r="K236" s="18">
        <v>23539.05</v>
      </c>
      <c r="L236" s="19">
        <f>SUM(F236:K236)</f>
        <v>401616.37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160688.78+334443.74</f>
        <v>495132.52</v>
      </c>
      <c r="G238" s="18">
        <f>59499.29+114310.49</f>
        <v>173809.78</v>
      </c>
      <c r="H238" s="18">
        <f>19924.1+5267.56</f>
        <v>25191.66</v>
      </c>
      <c r="I238" s="18">
        <f>1499.11+4353.93</f>
        <v>5853.04</v>
      </c>
      <c r="J238" s="18">
        <f>38.12+519.96</f>
        <v>558.08000000000004</v>
      </c>
      <c r="K238" s="18">
        <v>2113.1799999999998</v>
      </c>
      <c r="L238" s="19">
        <f t="shared" ref="L238:L244" si="4">SUM(F238:K238)</f>
        <v>702658.26000000013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33917.49+80694.72+3365.7</f>
        <v>117977.90999999999</v>
      </c>
      <c r="G239" s="18">
        <f>3471.54+39489.24+17198.9</f>
        <v>60159.68</v>
      </c>
      <c r="H239" s="18">
        <f>14833.16+450.58+8385.49</f>
        <v>23669.23</v>
      </c>
      <c r="I239" s="18">
        <f>21737.75+57806.61+1087.38</f>
        <v>80631.740000000005</v>
      </c>
      <c r="J239" s="18">
        <f>2756.56+1738</f>
        <v>4494.5599999999995</v>
      </c>
      <c r="K239" s="18">
        <f>479.69</f>
        <v>479.69</v>
      </c>
      <c r="L239" s="19">
        <f t="shared" si="4"/>
        <v>287412.81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113655.7+11261.3</f>
        <v>124917</v>
      </c>
      <c r="G240" s="18">
        <f>39523.06+4565.85</f>
        <v>44088.909999999996</v>
      </c>
      <c r="H240" s="18">
        <f>8145.18+31886.31</f>
        <v>40031.490000000005</v>
      </c>
      <c r="I240" s="18">
        <f>1166.6+61.27</f>
        <v>1227.8699999999999</v>
      </c>
      <c r="J240" s="18">
        <v>138.08000000000001</v>
      </c>
      <c r="K240" s="18">
        <f>2049.3+1617.48</f>
        <v>3666.78</v>
      </c>
      <c r="L240" s="19">
        <f t="shared" si="4"/>
        <v>214070.13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294146.48</v>
      </c>
      <c r="G241" s="18">
        <v>102846.99</v>
      </c>
      <c r="H241" s="18">
        <f>216.93+11092.19</f>
        <v>11309.12</v>
      </c>
      <c r="I241" s="18">
        <v>2597.83</v>
      </c>
      <c r="J241" s="18">
        <v>83.19</v>
      </c>
      <c r="K241" s="18">
        <v>17106.189999999999</v>
      </c>
      <c r="L241" s="19">
        <f t="shared" si="4"/>
        <v>428089.8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63168.54</v>
      </c>
      <c r="G242" s="18">
        <v>34502.26</v>
      </c>
      <c r="H242" s="18">
        <f>14720.77-65.24-1283.2</f>
        <v>13372.33</v>
      </c>
      <c r="I242" s="18">
        <f>1283.2+65.24</f>
        <v>1348.44</v>
      </c>
      <c r="J242" s="18">
        <v>0</v>
      </c>
      <c r="K242" s="18">
        <v>698.34</v>
      </c>
      <c r="L242" s="19">
        <f t="shared" si="4"/>
        <v>113089.91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10492.47+170308.26</f>
        <v>180800.73</v>
      </c>
      <c r="G243" s="18">
        <f>6294.28+98042.4</f>
        <v>104336.68</v>
      </c>
      <c r="H243" s="18">
        <f>55478.64+181730.97</f>
        <v>237209.61</v>
      </c>
      <c r="I243" s="18">
        <f>1666.17+213917.27</f>
        <v>215583.44</v>
      </c>
      <c r="J243" s="18">
        <f>14728.26</f>
        <v>14728.26</v>
      </c>
      <c r="K243" s="18">
        <v>0</v>
      </c>
      <c r="L243" s="19">
        <f t="shared" si="4"/>
        <v>752658.72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f>260709.65+115047.28</f>
        <v>375756.93</v>
      </c>
      <c r="I244" s="18">
        <v>0</v>
      </c>
      <c r="J244" s="18">
        <v>0</v>
      </c>
      <c r="K244" s="18">
        <v>0</v>
      </c>
      <c r="L244" s="19">
        <f t="shared" si="4"/>
        <v>375756.93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88786.83</v>
      </c>
      <c r="G245" s="18">
        <v>49985.77</v>
      </c>
      <c r="H245" s="18">
        <f>29943.17+35419.15</f>
        <v>65362.32</v>
      </c>
      <c r="I245" s="18">
        <f>7814.06+16215.72</f>
        <v>24029.78</v>
      </c>
      <c r="J245" s="18">
        <v>46977.29</v>
      </c>
      <c r="K245" s="18">
        <v>460.45</v>
      </c>
      <c r="L245" s="19">
        <f>SUM(F245:K245)</f>
        <v>275602.44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4017572.17</v>
      </c>
      <c r="G247" s="41">
        <f t="shared" si="5"/>
        <v>1532926.0199999998</v>
      </c>
      <c r="H247" s="41">
        <f t="shared" si="5"/>
        <v>1036156.7199999999</v>
      </c>
      <c r="I247" s="41">
        <f t="shared" si="5"/>
        <v>455701.16000000003</v>
      </c>
      <c r="J247" s="41">
        <f t="shared" si="5"/>
        <v>100830.32</v>
      </c>
      <c r="K247" s="41">
        <f t="shared" si="5"/>
        <v>54360.359999999986</v>
      </c>
      <c r="L247" s="41">
        <f t="shared" si="5"/>
        <v>7197546.7499999991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6583.92</v>
      </c>
      <c r="G250" s="18">
        <v>5291.59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11875.51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36252</v>
      </c>
      <c r="I255" s="18"/>
      <c r="J255" s="18"/>
      <c r="K255" s="18"/>
      <c r="L255" s="19">
        <f t="shared" si="6"/>
        <v>36252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6583.92</v>
      </c>
      <c r="G256" s="41">
        <f t="shared" si="7"/>
        <v>5291.59</v>
      </c>
      <c r="H256" s="41">
        <f t="shared" si="7"/>
        <v>36252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48127.51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11029214.680000002</v>
      </c>
      <c r="G257" s="41">
        <f t="shared" si="8"/>
        <v>4510183.05</v>
      </c>
      <c r="H257" s="41">
        <f t="shared" si="8"/>
        <v>2823921.71</v>
      </c>
      <c r="I257" s="41">
        <f t="shared" si="8"/>
        <v>1076141.52</v>
      </c>
      <c r="J257" s="41">
        <f t="shared" si="8"/>
        <v>228831.14</v>
      </c>
      <c r="K257" s="41">
        <f t="shared" si="8"/>
        <v>88855.599999999977</v>
      </c>
      <c r="L257" s="41">
        <f t="shared" si="8"/>
        <v>19757147.700000003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100000</v>
      </c>
      <c r="L270" s="41">
        <f t="shared" si="9"/>
        <v>100000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11029214.680000002</v>
      </c>
      <c r="G271" s="42">
        <f t="shared" si="11"/>
        <v>4510183.05</v>
      </c>
      <c r="H271" s="42">
        <f t="shared" si="11"/>
        <v>2823921.71</v>
      </c>
      <c r="I271" s="42">
        <f t="shared" si="11"/>
        <v>1076141.52</v>
      </c>
      <c r="J271" s="42">
        <f t="shared" si="11"/>
        <v>228831.14</v>
      </c>
      <c r="K271" s="42">
        <f t="shared" si="11"/>
        <v>188855.59999999998</v>
      </c>
      <c r="L271" s="42">
        <f t="shared" si="11"/>
        <v>19857147.700000003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2220.95+58212.19</f>
        <v>60433.14</v>
      </c>
      <c r="G276" s="18">
        <f>5820.89+174.46</f>
        <v>5995.35</v>
      </c>
      <c r="H276" s="18">
        <v>2944.36</v>
      </c>
      <c r="I276" s="18">
        <f>430.29+933.93</f>
        <v>1364.22</v>
      </c>
      <c r="J276" s="18"/>
      <c r="K276" s="18"/>
      <c r="L276" s="19">
        <f>SUM(F276:K276)</f>
        <v>70737.070000000007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6430.06+70+448.39</f>
        <v>6948.4500000000007</v>
      </c>
      <c r="G277" s="18">
        <f>497.16+18.64+100.16</f>
        <v>615.96</v>
      </c>
      <c r="H277" s="18"/>
      <c r="I277" s="18"/>
      <c r="J277" s="18"/>
      <c r="K277" s="18"/>
      <c r="L277" s="19">
        <f>SUM(F277:K277)</f>
        <v>7564.4100000000008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18670.66+7393.33</f>
        <v>26063.989999999998</v>
      </c>
      <c r="G281" s="18">
        <f>10173.9+586.83</f>
        <v>10760.73</v>
      </c>
      <c r="H281" s="18"/>
      <c r="I281" s="18"/>
      <c r="J281" s="18"/>
      <c r="K281" s="18"/>
      <c r="L281" s="19">
        <f t="shared" ref="L281:L287" si="12">SUM(F281:K281)</f>
        <v>36824.720000000001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4479.39</f>
        <v>4479.3900000000003</v>
      </c>
      <c r="G282" s="18">
        <v>932.83</v>
      </c>
      <c r="H282" s="18">
        <v>6284</v>
      </c>
      <c r="I282" s="18">
        <v>303.92</v>
      </c>
      <c r="J282" s="18"/>
      <c r="K282" s="18"/>
      <c r="L282" s="19">
        <f t="shared" si="12"/>
        <v>12000.140000000001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>
        <v>4027.5</v>
      </c>
      <c r="I284" s="18"/>
      <c r="J284" s="18"/>
      <c r="K284" s="18"/>
      <c r="L284" s="19">
        <f t="shared" si="12"/>
        <v>4027.5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>
        <f>1315.56+4980</f>
        <v>6295.5599999999995</v>
      </c>
      <c r="I288" s="18"/>
      <c r="J288" s="18">
        <v>2294.71</v>
      </c>
      <c r="K288" s="18"/>
      <c r="L288" s="19">
        <f>SUM(F288:K288)</f>
        <v>8590.27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97924.969999999987</v>
      </c>
      <c r="G290" s="42">
        <f t="shared" si="13"/>
        <v>18304.870000000003</v>
      </c>
      <c r="H290" s="42">
        <f t="shared" si="13"/>
        <v>19551.419999999998</v>
      </c>
      <c r="I290" s="42">
        <f t="shared" si="13"/>
        <v>1668.14</v>
      </c>
      <c r="J290" s="42">
        <f t="shared" si="13"/>
        <v>2294.71</v>
      </c>
      <c r="K290" s="42">
        <f t="shared" si="13"/>
        <v>0</v>
      </c>
      <c r="L290" s="41">
        <f t="shared" si="13"/>
        <v>139744.11000000002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>
        <f>3635.6</f>
        <v>3635.6</v>
      </c>
      <c r="J295" s="18">
        <v>11242</v>
      </c>
      <c r="K295" s="18"/>
      <c r="L295" s="19">
        <f>SUM(F295:K295)</f>
        <v>14877.6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62742.98+308.32</f>
        <v>63051.3</v>
      </c>
      <c r="G296" s="18">
        <f>68.87+25254.71</f>
        <v>25323.579999999998</v>
      </c>
      <c r="H296" s="18"/>
      <c r="I296" s="18"/>
      <c r="J296" s="18"/>
      <c r="K296" s="18"/>
      <c r="L296" s="19">
        <f>SUM(F296:K296)</f>
        <v>88374.88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19273.31+7631.97</f>
        <v>26905.280000000002</v>
      </c>
      <c r="G300" s="18">
        <f>10502.3+605.77</f>
        <v>11108.07</v>
      </c>
      <c r="H300" s="18"/>
      <c r="I300" s="18"/>
      <c r="J300" s="18"/>
      <c r="K300" s="18"/>
      <c r="L300" s="19">
        <f t="shared" ref="L300:L306" si="14">SUM(F300:K300)</f>
        <v>38013.350000000006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4623.97</f>
        <v>4623.97</v>
      </c>
      <c r="G301" s="18">
        <f>962.94</f>
        <v>962.94</v>
      </c>
      <c r="H301" s="18">
        <v>6486.84</v>
      </c>
      <c r="I301" s="18">
        <v>313.72000000000003</v>
      </c>
      <c r="J301" s="18"/>
      <c r="K301" s="18"/>
      <c r="L301" s="19">
        <f t="shared" si="14"/>
        <v>12387.47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>
        <v>4157.5</v>
      </c>
      <c r="I303" s="18"/>
      <c r="J303" s="18"/>
      <c r="K303" s="18"/>
      <c r="L303" s="19">
        <f t="shared" si="14"/>
        <v>4157.5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>
        <f>1358.03+4962.5</f>
        <v>6320.53</v>
      </c>
      <c r="I307" s="18"/>
      <c r="J307" s="18">
        <v>2368.7800000000002</v>
      </c>
      <c r="K307" s="18"/>
      <c r="L307" s="19">
        <f>SUM(F307:K307)</f>
        <v>8689.31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94580.55</v>
      </c>
      <c r="G309" s="42">
        <f t="shared" si="15"/>
        <v>37394.589999999997</v>
      </c>
      <c r="H309" s="42">
        <f t="shared" si="15"/>
        <v>16964.87</v>
      </c>
      <c r="I309" s="42">
        <f t="shared" si="15"/>
        <v>3949.3199999999997</v>
      </c>
      <c r="J309" s="42">
        <f t="shared" si="15"/>
        <v>13610.78</v>
      </c>
      <c r="K309" s="42">
        <f t="shared" si="15"/>
        <v>0</v>
      </c>
      <c r="L309" s="41">
        <f t="shared" si="15"/>
        <v>166500.11000000002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249.55+67161</f>
        <v>67410.55</v>
      </c>
      <c r="G315" s="18">
        <f>55.75+38179.17</f>
        <v>38234.92</v>
      </c>
      <c r="H315" s="18"/>
      <c r="I315" s="18"/>
      <c r="J315" s="18"/>
      <c r="K315" s="18"/>
      <c r="L315" s="19">
        <f>SUM(F315:K315)</f>
        <v>105645.47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20003.45+7921.1</f>
        <v>27924.550000000003</v>
      </c>
      <c r="G319" s="18">
        <f>10900.16+628.72</f>
        <v>11528.88</v>
      </c>
      <c r="H319" s="18"/>
      <c r="I319" s="18"/>
      <c r="J319" s="18"/>
      <c r="K319" s="18"/>
      <c r="L319" s="19">
        <f t="shared" ref="L319:L325" si="16">SUM(F319:K319)</f>
        <v>39453.43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4799.14</f>
        <v>4799.1400000000003</v>
      </c>
      <c r="G320" s="18">
        <v>999.42</v>
      </c>
      <c r="H320" s="18">
        <v>6732.58</v>
      </c>
      <c r="I320" s="18">
        <v>325.61</v>
      </c>
      <c r="J320" s="18"/>
      <c r="K320" s="18"/>
      <c r="L320" s="19">
        <f t="shared" si="16"/>
        <v>12856.75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>
        <v>4315</v>
      </c>
      <c r="I322" s="18"/>
      <c r="J322" s="18"/>
      <c r="K322" s="18"/>
      <c r="L322" s="19">
        <f t="shared" si="16"/>
        <v>4315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>
        <v>1409.47</v>
      </c>
      <c r="I326" s="18"/>
      <c r="J326" s="18">
        <v>2458.5100000000002</v>
      </c>
      <c r="K326" s="18"/>
      <c r="L326" s="19">
        <f>SUM(F326:K326)</f>
        <v>3867.9800000000005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100134.24</v>
      </c>
      <c r="G328" s="42">
        <f t="shared" si="17"/>
        <v>50763.219999999994</v>
      </c>
      <c r="H328" s="42">
        <f t="shared" si="17"/>
        <v>12457.05</v>
      </c>
      <c r="I328" s="42">
        <f t="shared" si="17"/>
        <v>325.61</v>
      </c>
      <c r="J328" s="42">
        <f t="shared" si="17"/>
        <v>2458.5100000000002</v>
      </c>
      <c r="K328" s="42">
        <f t="shared" si="17"/>
        <v>0</v>
      </c>
      <c r="L328" s="41">
        <f t="shared" si="17"/>
        <v>166138.63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292639.76</v>
      </c>
      <c r="G338" s="41">
        <f t="shared" si="20"/>
        <v>106462.68</v>
      </c>
      <c r="H338" s="41">
        <f t="shared" si="20"/>
        <v>48973.34</v>
      </c>
      <c r="I338" s="41">
        <f t="shared" si="20"/>
        <v>5943.07</v>
      </c>
      <c r="J338" s="41">
        <f t="shared" si="20"/>
        <v>18364</v>
      </c>
      <c r="K338" s="41">
        <f t="shared" si="20"/>
        <v>0</v>
      </c>
      <c r="L338" s="41">
        <f t="shared" si="20"/>
        <v>472382.85000000003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292639.76</v>
      </c>
      <c r="G352" s="41">
        <f>G338</f>
        <v>106462.68</v>
      </c>
      <c r="H352" s="41">
        <f>H338</f>
        <v>48973.34</v>
      </c>
      <c r="I352" s="41">
        <f>I338</f>
        <v>5943.07</v>
      </c>
      <c r="J352" s="41">
        <f>J338</f>
        <v>18364</v>
      </c>
      <c r="K352" s="47">
        <f>K338+K351</f>
        <v>0</v>
      </c>
      <c r="L352" s="41">
        <f>L338+L351</f>
        <v>472382.85000000003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1662.98+17596.47+34728.07</f>
        <v>53987.520000000004</v>
      </c>
      <c r="G358" s="18">
        <f>4715.52+133.03+3959.27</f>
        <v>8807.82</v>
      </c>
      <c r="H358" s="18">
        <f>4631.68+37.18</f>
        <v>4668.8600000000006</v>
      </c>
      <c r="I358" s="18">
        <f>7707.64+46.71+47056.93</f>
        <v>54811.28</v>
      </c>
      <c r="J358" s="18"/>
      <c r="K358" s="18">
        <f>14.47+350</f>
        <v>364.47</v>
      </c>
      <c r="L358" s="13">
        <f>SUM(F358:K358)</f>
        <v>122639.95000000001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18164.45+1716.66+43734.93</f>
        <v>63616.04</v>
      </c>
      <c r="G359" s="18">
        <f>4867.72+137.32+5080.41</f>
        <v>10085.450000000001</v>
      </c>
      <c r="H359" s="18">
        <f>38.38+444.12</f>
        <v>482.5</v>
      </c>
      <c r="I359" s="18">
        <f>7956.43+48.22+77330.43</f>
        <v>85335.079999999987</v>
      </c>
      <c r="J359" s="18">
        <v>2184</v>
      </c>
      <c r="K359" s="18">
        <f>14.94+405</f>
        <v>419.94</v>
      </c>
      <c r="L359" s="19">
        <f>SUM(F359:K359)</f>
        <v>162123.01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18852.58+1781.69+59736.79</f>
        <v>80371.06</v>
      </c>
      <c r="G360" s="18">
        <f>5052.13+142.53+26176.37</f>
        <v>31371.03</v>
      </c>
      <c r="H360" s="18">
        <f>39.83+958.69</f>
        <v>998.5200000000001</v>
      </c>
      <c r="I360" s="18">
        <f>8257.85+50.05+102876.1</f>
        <v>111184</v>
      </c>
      <c r="J360" s="18">
        <v>10336.02</v>
      </c>
      <c r="K360" s="18">
        <v>459.5</v>
      </c>
      <c r="L360" s="19">
        <f>SUM(F360:K360)</f>
        <v>234720.12999999998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197974.62</v>
      </c>
      <c r="G362" s="47">
        <f t="shared" si="22"/>
        <v>50264.3</v>
      </c>
      <c r="H362" s="47">
        <f t="shared" si="22"/>
        <v>6149.880000000001</v>
      </c>
      <c r="I362" s="47">
        <f t="shared" si="22"/>
        <v>251330.36</v>
      </c>
      <c r="J362" s="47">
        <f t="shared" si="22"/>
        <v>12520.02</v>
      </c>
      <c r="K362" s="47">
        <f t="shared" si="22"/>
        <v>1243.9100000000001</v>
      </c>
      <c r="L362" s="47">
        <f t="shared" si="22"/>
        <v>519483.08999999997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7702.17+42444.58</f>
        <v>50146.75</v>
      </c>
      <c r="G367" s="18">
        <f>7950.78+71656.52</f>
        <v>79607.3</v>
      </c>
      <c r="H367" s="18">
        <f>8251.99+95365.57</f>
        <v>103617.56000000001</v>
      </c>
      <c r="I367" s="56">
        <f>SUM(F367:H367)</f>
        <v>233371.61000000002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5.47+4612.35+46.71</f>
        <v>4664.5300000000007</v>
      </c>
      <c r="G368" s="63">
        <f>5673.91+5.65+48.22</f>
        <v>5727.78</v>
      </c>
      <c r="H368" s="63">
        <f>7510.53+5.86+50.05</f>
        <v>7566.44</v>
      </c>
      <c r="I368" s="56">
        <f>SUM(F368:H368)</f>
        <v>17958.75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54811.28</v>
      </c>
      <c r="G369" s="47">
        <f>SUM(G367:G368)</f>
        <v>85335.08</v>
      </c>
      <c r="H369" s="47">
        <f>SUM(H367:H368)</f>
        <v>111184.00000000001</v>
      </c>
      <c r="I369" s="47">
        <f>SUM(I367:I368)</f>
        <v>251330.36000000002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>
        <v>130.13</v>
      </c>
      <c r="I396" s="18"/>
      <c r="J396" s="24" t="s">
        <v>288</v>
      </c>
      <c r="K396" s="24" t="s">
        <v>288</v>
      </c>
      <c r="L396" s="56">
        <f t="shared" si="26"/>
        <v>50130.13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304.97000000000003</v>
      </c>
      <c r="I397" s="18"/>
      <c r="J397" s="24" t="s">
        <v>288</v>
      </c>
      <c r="K397" s="24" t="s">
        <v>288</v>
      </c>
      <c r="L397" s="56">
        <f t="shared" si="26"/>
        <v>304.97000000000003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>
        <v>50000</v>
      </c>
      <c r="H399" s="18">
        <v>30.31</v>
      </c>
      <c r="I399" s="18"/>
      <c r="J399" s="24" t="s">
        <v>288</v>
      </c>
      <c r="K399" s="24" t="s">
        <v>288</v>
      </c>
      <c r="L399" s="56">
        <f t="shared" si="26"/>
        <v>50030.31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465.41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100465.41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465.41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100465.41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255704.56</v>
      </c>
      <c r="G442" s="18"/>
      <c r="H442" s="18"/>
      <c r="I442" s="56">
        <f t="shared" si="33"/>
        <v>255704.56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255704.56</v>
      </c>
      <c r="G446" s="13">
        <f>SUM(G439:G445)</f>
        <v>0</v>
      </c>
      <c r="H446" s="13">
        <f>SUM(H439:H445)</f>
        <v>0</v>
      </c>
      <c r="I446" s="13">
        <f>SUM(I439:I445)</f>
        <v>255704.56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255704.56</v>
      </c>
      <c r="G459" s="18"/>
      <c r="H459" s="18"/>
      <c r="I459" s="56">
        <f t="shared" si="34"/>
        <v>255704.56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255704.56</v>
      </c>
      <c r="G460" s="83">
        <f>SUM(G454:G459)</f>
        <v>0</v>
      </c>
      <c r="H460" s="83">
        <f>SUM(H454:H459)</f>
        <v>0</v>
      </c>
      <c r="I460" s="83">
        <f>SUM(I454:I459)</f>
        <v>255704.56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255704.56</v>
      </c>
      <c r="G461" s="42">
        <f>G452+G460</f>
        <v>0</v>
      </c>
      <c r="H461" s="42">
        <f>H452+H460</f>
        <v>0</v>
      </c>
      <c r="I461" s="42">
        <f>I452+I460</f>
        <v>255704.56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349413.87</v>
      </c>
      <c r="G465" s="18">
        <v>109252.98</v>
      </c>
      <c r="H465" s="18">
        <v>0</v>
      </c>
      <c r="I465" s="18"/>
      <c r="J465" s="18">
        <v>155239.15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20149853.579999998</v>
      </c>
      <c r="G468" s="18">
        <f>G193</f>
        <v>492832.97000000003</v>
      </c>
      <c r="H468" s="18">
        <f>H193</f>
        <v>472382.85</v>
      </c>
      <c r="I468" s="18"/>
      <c r="J468" s="18">
        <f>L408</f>
        <v>100465.41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20149853.579999998</v>
      </c>
      <c r="G470" s="53">
        <f>SUM(G468:G469)</f>
        <v>492832.97000000003</v>
      </c>
      <c r="H470" s="53">
        <f>SUM(H468:H469)</f>
        <v>472382.85</v>
      </c>
      <c r="I470" s="53">
        <f>SUM(I468:I469)</f>
        <v>0</v>
      </c>
      <c r="J470" s="53">
        <f>SUM(J468:J469)</f>
        <v>100465.41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19857147.700000003</v>
      </c>
      <c r="G472" s="18">
        <f>L362</f>
        <v>519483.08999999997</v>
      </c>
      <c r="H472" s="18">
        <f>L338</f>
        <v>472382.85000000003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19857147.700000003</v>
      </c>
      <c r="G474" s="53">
        <f>SUM(G472:G473)</f>
        <v>519483.08999999997</v>
      </c>
      <c r="H474" s="53">
        <f>SUM(H472:H473)</f>
        <v>472382.85000000003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642119.74999999627</v>
      </c>
      <c r="G476" s="53">
        <f>(G465+G470)- G474</f>
        <v>82602.860000000102</v>
      </c>
      <c r="H476" s="53">
        <f>(H465+H470)- H474</f>
        <v>0</v>
      </c>
      <c r="I476" s="53">
        <f>(I465+I470)- I474</f>
        <v>0</v>
      </c>
      <c r="J476" s="53">
        <f>(J465+J470)- J474</f>
        <v>255704.56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808302.38</v>
      </c>
      <c r="G521" s="18">
        <v>225010.93</v>
      </c>
      <c r="H521" s="18">
        <v>231923.59</v>
      </c>
      <c r="I521" s="18">
        <v>5326.61</v>
      </c>
      <c r="J521" s="18">
        <v>8544.64</v>
      </c>
      <c r="K521" s="18">
        <v>7586.48</v>
      </c>
      <c r="L521" s="88">
        <f>SUM(F521:K521)</f>
        <v>1286694.6300000001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418027.8</v>
      </c>
      <c r="G522" s="18">
        <v>99624.83</v>
      </c>
      <c r="H522" s="18">
        <v>158845.56</v>
      </c>
      <c r="I522" s="18">
        <v>1937.61</v>
      </c>
      <c r="J522" s="18">
        <v>3596.03</v>
      </c>
      <c r="K522" s="18">
        <v>4627.38</v>
      </c>
      <c r="L522" s="88">
        <f>SUM(F522:K522)</f>
        <v>686659.21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556978.80000000005</v>
      </c>
      <c r="G523" s="18">
        <v>147707.12</v>
      </c>
      <c r="H523" s="18">
        <v>128298.37</v>
      </c>
      <c r="I523" s="18">
        <v>3995.22</v>
      </c>
      <c r="J523" s="18">
        <v>3527.72</v>
      </c>
      <c r="K523" s="18">
        <v>3745.4</v>
      </c>
      <c r="L523" s="88">
        <f>SUM(F523:K523)</f>
        <v>844252.63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1783308.98</v>
      </c>
      <c r="G524" s="108">
        <f t="shared" ref="G524:L524" si="36">SUM(G521:G523)</f>
        <v>472342.88</v>
      </c>
      <c r="H524" s="108">
        <f t="shared" si="36"/>
        <v>519067.52</v>
      </c>
      <c r="I524" s="108">
        <f t="shared" si="36"/>
        <v>11259.439999999999</v>
      </c>
      <c r="J524" s="108">
        <f t="shared" si="36"/>
        <v>15668.39</v>
      </c>
      <c r="K524" s="108">
        <f t="shared" si="36"/>
        <v>15959.26</v>
      </c>
      <c r="L524" s="89">
        <f t="shared" si="36"/>
        <v>2817606.47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149982.39999999999</v>
      </c>
      <c r="G526" s="18">
        <v>55534.97</v>
      </c>
      <c r="H526" s="18">
        <v>18596.599999999999</v>
      </c>
      <c r="I526" s="18">
        <v>1399.23</v>
      </c>
      <c r="J526" s="18">
        <v>35.58</v>
      </c>
      <c r="K526" s="18"/>
      <c r="L526" s="88">
        <f>SUM(F526:K526)</f>
        <v>225548.78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154823.54</v>
      </c>
      <c r="G527" s="18">
        <v>57327.53</v>
      </c>
      <c r="H527" s="18">
        <v>19196.86</v>
      </c>
      <c r="I527" s="18">
        <v>1444.4</v>
      </c>
      <c r="J527" s="18">
        <v>36.76</v>
      </c>
      <c r="K527" s="18"/>
      <c r="L527" s="88">
        <f>SUM(F527:K527)</f>
        <v>232829.09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160688.78</v>
      </c>
      <c r="G528" s="18">
        <v>59499.29</v>
      </c>
      <c r="H528" s="18">
        <v>19924.099999999999</v>
      </c>
      <c r="I528" s="18">
        <v>1499.11</v>
      </c>
      <c r="J528" s="18">
        <v>38.119999999999997</v>
      </c>
      <c r="K528" s="18"/>
      <c r="L528" s="88">
        <f>SUM(F528:K528)</f>
        <v>241649.4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465494.72</v>
      </c>
      <c r="G529" s="89">
        <f t="shared" ref="G529:L529" si="37">SUM(G526:G528)</f>
        <v>172361.79</v>
      </c>
      <c r="H529" s="89">
        <f t="shared" si="37"/>
        <v>57717.56</v>
      </c>
      <c r="I529" s="89">
        <f t="shared" si="37"/>
        <v>4342.74</v>
      </c>
      <c r="J529" s="89">
        <f t="shared" si="37"/>
        <v>110.46000000000001</v>
      </c>
      <c r="K529" s="89">
        <f t="shared" si="37"/>
        <v>0</v>
      </c>
      <c r="L529" s="89">
        <f t="shared" si="37"/>
        <v>700027.27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44547.69</v>
      </c>
      <c r="G531" s="18">
        <v>23331.82</v>
      </c>
      <c r="H531" s="18">
        <v>922.76</v>
      </c>
      <c r="I531" s="18">
        <v>207.3</v>
      </c>
      <c r="J531" s="18"/>
      <c r="K531" s="18">
        <v>241.49</v>
      </c>
      <c r="L531" s="88">
        <f>SUM(F531:K531)</f>
        <v>69251.060000000012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45985.61</v>
      </c>
      <c r="G532" s="18">
        <v>24084.93</v>
      </c>
      <c r="H532" s="18">
        <v>952.55</v>
      </c>
      <c r="I532" s="18">
        <v>213.99</v>
      </c>
      <c r="J532" s="18"/>
      <c r="K532" s="18">
        <v>249.28</v>
      </c>
      <c r="L532" s="88">
        <f>SUM(F532:K532)</f>
        <v>71486.360000000015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47727.7</v>
      </c>
      <c r="G533" s="18">
        <v>24997.34</v>
      </c>
      <c r="H533" s="18">
        <v>988.64</v>
      </c>
      <c r="I533" s="18">
        <v>222.09</v>
      </c>
      <c r="J533" s="18"/>
      <c r="K533" s="18">
        <v>258.73</v>
      </c>
      <c r="L533" s="88">
        <f>SUM(F533:K533)</f>
        <v>74194.499999999985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138261</v>
      </c>
      <c r="G534" s="89">
        <f t="shared" ref="G534:L534" si="38">SUM(G531:G533)</f>
        <v>72414.09</v>
      </c>
      <c r="H534" s="89">
        <f t="shared" si="38"/>
        <v>2863.95</v>
      </c>
      <c r="I534" s="89">
        <f t="shared" si="38"/>
        <v>643.38</v>
      </c>
      <c r="J534" s="89">
        <f t="shared" si="38"/>
        <v>0</v>
      </c>
      <c r="K534" s="89">
        <f t="shared" si="38"/>
        <v>749.5</v>
      </c>
      <c r="L534" s="89">
        <f t="shared" si="38"/>
        <v>214931.92000000004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163951.10999999999</v>
      </c>
      <c r="I541" s="18"/>
      <c r="J541" s="18"/>
      <c r="K541" s="18"/>
      <c r="L541" s="88">
        <f>SUM(F541:K541)</f>
        <v>163951.10999999999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112734.78</v>
      </c>
      <c r="I542" s="18"/>
      <c r="J542" s="18"/>
      <c r="K542" s="18"/>
      <c r="L542" s="88">
        <f>SUM(F542:K542)</f>
        <v>112734.78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91247.47</v>
      </c>
      <c r="I543" s="18"/>
      <c r="J543" s="18"/>
      <c r="K543" s="18"/>
      <c r="L543" s="88">
        <f>SUM(F543:K543)</f>
        <v>91247.47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367933.36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367933.36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2387064.7000000002</v>
      </c>
      <c r="G545" s="89">
        <f t="shared" ref="G545:L545" si="41">G524+G529+G534+G539+G544</f>
        <v>717118.76</v>
      </c>
      <c r="H545" s="89">
        <f t="shared" si="41"/>
        <v>947582.39</v>
      </c>
      <c r="I545" s="89">
        <f t="shared" si="41"/>
        <v>16245.559999999998</v>
      </c>
      <c r="J545" s="89">
        <f t="shared" si="41"/>
        <v>15778.849999999999</v>
      </c>
      <c r="K545" s="89">
        <f t="shared" si="41"/>
        <v>16708.760000000002</v>
      </c>
      <c r="L545" s="89">
        <f t="shared" si="41"/>
        <v>4100499.02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1286694.6300000001</v>
      </c>
      <c r="G549" s="87">
        <f>L526</f>
        <v>225548.78</v>
      </c>
      <c r="H549" s="87">
        <f>L531</f>
        <v>69251.060000000012</v>
      </c>
      <c r="I549" s="87">
        <f>L536</f>
        <v>0</v>
      </c>
      <c r="J549" s="87">
        <f>L541</f>
        <v>163951.10999999999</v>
      </c>
      <c r="K549" s="87">
        <f>SUM(F549:J549)</f>
        <v>1745445.58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686659.21</v>
      </c>
      <c r="G550" s="87">
        <f>L527</f>
        <v>232829.09</v>
      </c>
      <c r="H550" s="87">
        <f>L532</f>
        <v>71486.360000000015</v>
      </c>
      <c r="I550" s="87">
        <f>L537</f>
        <v>0</v>
      </c>
      <c r="J550" s="87">
        <f>L542</f>
        <v>112734.78</v>
      </c>
      <c r="K550" s="87">
        <f>SUM(F550:J550)</f>
        <v>1103709.44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844252.63</v>
      </c>
      <c r="G551" s="87">
        <f>L528</f>
        <v>241649.4</v>
      </c>
      <c r="H551" s="87">
        <f>L533</f>
        <v>74194.499999999985</v>
      </c>
      <c r="I551" s="87">
        <f>L538</f>
        <v>0</v>
      </c>
      <c r="J551" s="87">
        <f>L543</f>
        <v>91247.47</v>
      </c>
      <c r="K551" s="87">
        <f>SUM(F551:J551)</f>
        <v>1251344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2817606.47</v>
      </c>
      <c r="G552" s="89">
        <f t="shared" si="42"/>
        <v>700027.27</v>
      </c>
      <c r="H552" s="89">
        <f t="shared" si="42"/>
        <v>214931.92000000004</v>
      </c>
      <c r="I552" s="89">
        <f t="shared" si="42"/>
        <v>0</v>
      </c>
      <c r="J552" s="89">
        <f t="shared" si="42"/>
        <v>367933.36</v>
      </c>
      <c r="K552" s="89">
        <f t="shared" si="42"/>
        <v>4100499.02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32157.5</v>
      </c>
      <c r="G582" s="18"/>
      <c r="H582" s="18">
        <v>337855.26</v>
      </c>
      <c r="I582" s="87">
        <f t="shared" si="47"/>
        <v>370012.76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28713.84</v>
      </c>
      <c r="I584" s="87">
        <f t="shared" si="47"/>
        <v>28713.84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158171.24</v>
      </c>
      <c r="I591" s="18">
        <v>163276.71</v>
      </c>
      <c r="J591" s="18">
        <v>169462.18</v>
      </c>
      <c r="K591" s="104">
        <f t="shared" ref="K591:K597" si="48">SUM(H591:J591)</f>
        <v>490910.12999999995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163951.10999999999</v>
      </c>
      <c r="I592" s="18">
        <v>112734.78</v>
      </c>
      <c r="J592" s="18">
        <v>91247.47</v>
      </c>
      <c r="K592" s="104">
        <f t="shared" si="48"/>
        <v>367933.36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49713.53</v>
      </c>
      <c r="K593" s="104">
        <f t="shared" si="48"/>
        <v>49713.53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10969.48</v>
      </c>
      <c r="J594" s="18">
        <v>57187.4</v>
      </c>
      <c r="K594" s="104">
        <f t="shared" si="48"/>
        <v>68156.88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742.34</v>
      </c>
      <c r="I595" s="18">
        <v>3539.39</v>
      </c>
      <c r="J595" s="18">
        <v>8146.35</v>
      </c>
      <c r="K595" s="104">
        <f t="shared" si="48"/>
        <v>12428.08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322864.69</v>
      </c>
      <c r="I598" s="108">
        <f>SUM(I591:I597)</f>
        <v>290520.36</v>
      </c>
      <c r="J598" s="108">
        <f>SUM(J591:J597)</f>
        <v>375756.93</v>
      </c>
      <c r="K598" s="108">
        <f>SUM(K591:K597)</f>
        <v>989141.98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35.58+17658.04+1622.2+128.88+43847.28+2294.71</f>
        <v>65586.69</v>
      </c>
      <c r="I604" s="18">
        <f>36.73+17601.92+1674.56+133.4+45262.59+2368.78+11242-0.36</f>
        <v>78319.62</v>
      </c>
      <c r="J604" s="18">
        <f>38.12+51938.83+1738+138.08+46977.29+2458.51</f>
        <v>103288.83</v>
      </c>
      <c r="K604" s="104">
        <f>SUM(H604:J604)</f>
        <v>247195.14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65586.69</v>
      </c>
      <c r="I605" s="108">
        <f>SUM(I602:I604)</f>
        <v>78319.62</v>
      </c>
      <c r="J605" s="108">
        <f>SUM(J602:J604)</f>
        <v>103288.83</v>
      </c>
      <c r="K605" s="108">
        <f>SUM(K602:K604)</f>
        <v>247195.14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1384983.08</v>
      </c>
      <c r="H617" s="109">
        <f>SUM(F52)</f>
        <v>1384983.08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96500.299999999988</v>
      </c>
      <c r="H618" s="109">
        <f>SUM(G52)</f>
        <v>96500.3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87256.67</v>
      </c>
      <c r="H619" s="109">
        <f>SUM(H52)</f>
        <v>87256.670000000013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255704.56</v>
      </c>
      <c r="H621" s="109">
        <f>SUM(J52)</f>
        <v>255704.56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642119.75</v>
      </c>
      <c r="H622" s="109">
        <f>F476</f>
        <v>642119.74999999627</v>
      </c>
      <c r="I622" s="121" t="s">
        <v>101</v>
      </c>
      <c r="J622" s="109">
        <f t="shared" ref="J622:J655" si="50">G622-H622</f>
        <v>3.7252902984619141E-9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82602.86</v>
      </c>
      <c r="H623" s="109">
        <f>G476</f>
        <v>82602.860000000102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255704.56</v>
      </c>
      <c r="H626" s="109">
        <f>J476</f>
        <v>255704.56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20149853.579999998</v>
      </c>
      <c r="H627" s="104">
        <f>SUM(F468)</f>
        <v>20149853.579999998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492832.97000000003</v>
      </c>
      <c r="H628" s="104">
        <f>SUM(G468)</f>
        <v>492832.97000000003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472382.85</v>
      </c>
      <c r="H629" s="104">
        <f>SUM(H468)</f>
        <v>472382.85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100465.41</v>
      </c>
      <c r="H631" s="104">
        <f>SUM(J468)</f>
        <v>100465.41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19857147.700000003</v>
      </c>
      <c r="H632" s="104">
        <f>SUM(F472)</f>
        <v>19857147.700000003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472382.85000000003</v>
      </c>
      <c r="H633" s="104">
        <f>SUM(H472)</f>
        <v>472382.85000000003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251330.36</v>
      </c>
      <c r="H634" s="104">
        <f>I369</f>
        <v>251330.36000000002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519483.08999999997</v>
      </c>
      <c r="H635" s="104">
        <f>SUM(G472)</f>
        <v>519483.08999999997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100465.41</v>
      </c>
      <c r="H637" s="164">
        <f>SUM(J468)</f>
        <v>100465.41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255704.56</v>
      </c>
      <c r="H639" s="104">
        <f>SUM(F461)</f>
        <v>255704.56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255704.56</v>
      </c>
      <c r="H642" s="104">
        <f>SUM(I461)</f>
        <v>255704.56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465.41</v>
      </c>
      <c r="H644" s="104">
        <f>H408</f>
        <v>465.41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100000</v>
      </c>
      <c r="H645" s="104">
        <f>G408</f>
        <v>100000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100465.41</v>
      </c>
      <c r="H646" s="104">
        <f>L408</f>
        <v>100465.41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989141.98</v>
      </c>
      <c r="H647" s="104">
        <f>L208+L226+L244</f>
        <v>989141.98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247195.14</v>
      </c>
      <c r="H648" s="104">
        <f>(J257+J338)-(J255+J336)</f>
        <v>247195.14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322864.69</v>
      </c>
      <c r="H649" s="104">
        <f>H598</f>
        <v>322864.69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290520.36</v>
      </c>
      <c r="H650" s="104">
        <f>I598</f>
        <v>290520.36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375756.93</v>
      </c>
      <c r="H651" s="104">
        <f>J598</f>
        <v>375756.93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100000</v>
      </c>
      <c r="H655" s="104">
        <f>K266+K347</f>
        <v>100000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6564946.5000000009</v>
      </c>
      <c r="G660" s="19">
        <f>(L229+L309+L359)</f>
        <v>6537534.1200000001</v>
      </c>
      <c r="H660" s="19">
        <f>(L247+L328+L360)</f>
        <v>7598405.5099999988</v>
      </c>
      <c r="I660" s="19">
        <f>SUM(F660:H660)</f>
        <v>20700886.129999999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90808.860993365568</v>
      </c>
      <c r="G661" s="19">
        <f>(L359/IF(SUM(L358:L360)=0,1,SUM(L358:L360))*(SUM(G97:G110)))</f>
        <v>120044.12818919132</v>
      </c>
      <c r="H661" s="19">
        <f>(L360/IF(SUM(L358:L360)=0,1,SUM(L358:L360))*(SUM(G97:G110)))</f>
        <v>173798.73081744317</v>
      </c>
      <c r="I661" s="19">
        <f>SUM(F661:H661)</f>
        <v>384651.72000000009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322864.69</v>
      </c>
      <c r="G662" s="19">
        <f>(L226+L306)-(J226+J306)</f>
        <v>290520.36</v>
      </c>
      <c r="H662" s="19">
        <f>(L244+L325)-(J244+J325)</f>
        <v>375756.93</v>
      </c>
      <c r="I662" s="19">
        <f>SUM(F662:H662)</f>
        <v>989141.98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97744.19</v>
      </c>
      <c r="G663" s="199">
        <f>SUM(G575:G587)+SUM(I602:I604)+L612</f>
        <v>78319.62</v>
      </c>
      <c r="H663" s="199">
        <f>SUM(H575:H587)+SUM(J602:J604)+L613</f>
        <v>469857.93000000005</v>
      </c>
      <c r="I663" s="19">
        <f>SUM(F663:H663)</f>
        <v>645921.74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6053528.7590066353</v>
      </c>
      <c r="G664" s="19">
        <f>G660-SUM(G661:G663)</f>
        <v>6048650.0118108084</v>
      </c>
      <c r="H664" s="19">
        <f>H660-SUM(H661:H663)</f>
        <v>6578991.9191825558</v>
      </c>
      <c r="I664" s="19">
        <f>I660-SUM(I661:I663)</f>
        <v>18681170.689999998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377.95</v>
      </c>
      <c r="G665" s="248">
        <v>450.3</v>
      </c>
      <c r="H665" s="248">
        <v>460.65</v>
      </c>
      <c r="I665" s="19">
        <f>SUM(F665:H665)</f>
        <v>1288.9000000000001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16016.74</v>
      </c>
      <c r="G667" s="19">
        <f>ROUND(G664/G665,2)</f>
        <v>13432.49</v>
      </c>
      <c r="H667" s="19">
        <f>ROUND(H664/H665,2)</f>
        <v>14281.98</v>
      </c>
      <c r="I667" s="19">
        <f>ROUND(I664/I665,2)</f>
        <v>14493.89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f>-13.17</f>
        <v>-13.17</v>
      </c>
      <c r="I670" s="19">
        <f>SUM(F670:H670)</f>
        <v>-13.17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16016.74</v>
      </c>
      <c r="G672" s="19">
        <f>ROUND((G664+G669)/(G665+G670),2)</f>
        <v>13432.49</v>
      </c>
      <c r="H672" s="19">
        <f>ROUND((H664+H669)/(H665+H670),2)</f>
        <v>14702.32</v>
      </c>
      <c r="I672" s="19">
        <f>ROUND((I664+I669)/(I665+I670),2)</f>
        <v>14643.51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Normal="100" workbookViewId="0">
      <selection activeCell="C23" sqref="C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LITCHFIELD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5379006.5999999996</v>
      </c>
      <c r="C9" s="229">
        <f>'DOE25'!G197+'DOE25'!G215+'DOE25'!G233+'DOE25'!G276+'DOE25'!G295+'DOE25'!G314</f>
        <v>2368583.2799999998</v>
      </c>
    </row>
    <row r="10" spans="1:3" x14ac:dyDescent="0.2">
      <c r="A10" t="s">
        <v>778</v>
      </c>
      <c r="B10" s="240">
        <v>4899291.16</v>
      </c>
      <c r="C10" s="240">
        <v>2157346.14</v>
      </c>
    </row>
    <row r="11" spans="1:3" x14ac:dyDescent="0.2">
      <c r="A11" t="s">
        <v>779</v>
      </c>
      <c r="B11" s="240">
        <f>104062.8+46157.52</f>
        <v>150220.32</v>
      </c>
      <c r="C11" s="240">
        <v>66147.78</v>
      </c>
    </row>
    <row r="12" spans="1:3" x14ac:dyDescent="0.2">
      <c r="A12" t="s">
        <v>780</v>
      </c>
      <c r="B12" s="240">
        <f>1553.12+327942</f>
        <v>329495.12</v>
      </c>
      <c r="C12" s="240">
        <v>145089.35999999999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5379006.6000000006</v>
      </c>
      <c r="C13" s="231">
        <f>SUM(C10:C12)</f>
        <v>2368583.2799999998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1955702.2899999998</v>
      </c>
      <c r="C18" s="229">
        <f>'DOE25'!G198+'DOE25'!G216+'DOE25'!G234+'DOE25'!G277+'DOE25'!G296+'DOE25'!G315</f>
        <v>539294.13000000012</v>
      </c>
    </row>
    <row r="19" spans="1:3" x14ac:dyDescent="0.2">
      <c r="A19" t="s">
        <v>778</v>
      </c>
      <c r="B19" s="240">
        <v>944347.17</v>
      </c>
      <c r="C19" s="240">
        <v>260408.19</v>
      </c>
    </row>
    <row r="20" spans="1:3" x14ac:dyDescent="0.2">
      <c r="A20" t="s">
        <v>779</v>
      </c>
      <c r="B20" s="240">
        <f>908282.69+6430.06</f>
        <v>914712.75</v>
      </c>
      <c r="C20" s="240">
        <v>252236.36</v>
      </c>
    </row>
    <row r="21" spans="1:3" x14ac:dyDescent="0.2">
      <c r="A21" t="s">
        <v>780</v>
      </c>
      <c r="B21" s="240">
        <f>96107.37+535</f>
        <v>96642.37</v>
      </c>
      <c r="C21" s="240">
        <v>26649.58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1955702.29</v>
      </c>
      <c r="C22" s="231">
        <f>SUM(C19:C21)</f>
        <v>539294.13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283011.82</v>
      </c>
      <c r="C36" s="235">
        <f>'DOE25'!G200+'DOE25'!G218+'DOE25'!G236+'DOE25'!G279+'DOE25'!G298+'DOE25'!G317</f>
        <v>67448.44</v>
      </c>
    </row>
    <row r="37" spans="1:3" x14ac:dyDescent="0.2">
      <c r="A37" t="s">
        <v>778</v>
      </c>
      <c r="B37" s="240">
        <f>100060.74+112581.08</f>
        <v>212641.82</v>
      </c>
      <c r="C37" s="240">
        <v>50677.599999999999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70370</v>
      </c>
      <c r="C39" s="240">
        <v>16770.84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283011.82</v>
      </c>
      <c r="C40" s="231">
        <f>SUM(C37:C39)</f>
        <v>67448.44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LITCHFIELD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11370971.850000001</v>
      </c>
      <c r="D5" s="20">
        <f>SUM('DOE25'!L197:L200)+SUM('DOE25'!L215:L218)+SUM('DOE25'!L233:L236)-F5-G5</f>
        <v>11276119.970000003</v>
      </c>
      <c r="E5" s="243"/>
      <c r="F5" s="255">
        <f>SUM('DOE25'!J197:J200)+SUM('DOE25'!J215:J218)+SUM('DOE25'!J233:J236)</f>
        <v>51309.29</v>
      </c>
      <c r="G5" s="53">
        <f>SUM('DOE25'!K197:K200)+SUM('DOE25'!K215:K218)+SUM('DOE25'!K233:K236)</f>
        <v>43542.59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1656312.4600000002</v>
      </c>
      <c r="D6" s="20">
        <f>'DOE25'!L202+'DOE25'!L220+'DOE25'!L238-F6-G6</f>
        <v>1652944.7600000002</v>
      </c>
      <c r="E6" s="243"/>
      <c r="F6" s="255">
        <f>'DOE25'!J202+'DOE25'!J220+'DOE25'!J238</f>
        <v>1204.52</v>
      </c>
      <c r="G6" s="53">
        <f>'DOE25'!K202+'DOE25'!K220+'DOE25'!K238</f>
        <v>2163.1799999999998</v>
      </c>
      <c r="H6" s="259"/>
    </row>
    <row r="7" spans="1:9" x14ac:dyDescent="0.2">
      <c r="A7" s="32">
        <v>2200</v>
      </c>
      <c r="B7" t="s">
        <v>833</v>
      </c>
      <c r="C7" s="245">
        <f t="shared" si="0"/>
        <v>772381.53</v>
      </c>
      <c r="D7" s="20">
        <f>'DOE25'!L203+'DOE25'!L221+'DOE25'!L239-F7-G7</f>
        <v>758626.35000000009</v>
      </c>
      <c r="E7" s="243"/>
      <c r="F7" s="255">
        <f>'DOE25'!J203+'DOE25'!J221+'DOE25'!J239</f>
        <v>12365.579999999998</v>
      </c>
      <c r="G7" s="53">
        <f>'DOE25'!K203+'DOE25'!K221+'DOE25'!K239</f>
        <v>1389.6000000000001</v>
      </c>
      <c r="H7" s="259"/>
    </row>
    <row r="8" spans="1:9" x14ac:dyDescent="0.2">
      <c r="A8" s="32">
        <v>2300</v>
      </c>
      <c r="B8" t="s">
        <v>801</v>
      </c>
      <c r="C8" s="245">
        <f t="shared" si="0"/>
        <v>225264.08000000016</v>
      </c>
      <c r="D8" s="243"/>
      <c r="E8" s="20">
        <f>'DOE25'!L204+'DOE25'!L222+'DOE25'!L240-F8-G8-D9-D11</f>
        <v>214374.93000000017</v>
      </c>
      <c r="F8" s="255">
        <f>'DOE25'!J204+'DOE25'!J222+'DOE25'!J240</f>
        <v>266.96000000000004</v>
      </c>
      <c r="G8" s="53">
        <f>'DOE25'!K204+'DOE25'!K222+'DOE25'!K240</f>
        <v>10622.19</v>
      </c>
      <c r="H8" s="259"/>
    </row>
    <row r="9" spans="1:9" x14ac:dyDescent="0.2">
      <c r="A9" s="32">
        <v>2310</v>
      </c>
      <c r="B9" t="s">
        <v>817</v>
      </c>
      <c r="C9" s="245">
        <f t="shared" si="0"/>
        <v>127142.88</v>
      </c>
      <c r="D9" s="244">
        <f>143082.88-15940</f>
        <v>127142.88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15940</v>
      </c>
      <c r="D10" s="243"/>
      <c r="E10" s="244">
        <v>15940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258621.74</v>
      </c>
      <c r="D11" s="244">
        <v>258621.74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1230627.4200000002</v>
      </c>
      <c r="D12" s="20">
        <f>'DOE25'!L205+'DOE25'!L223+'DOE25'!L241-F12-G12</f>
        <v>1202630.0100000002</v>
      </c>
      <c r="E12" s="243"/>
      <c r="F12" s="255">
        <f>'DOE25'!J205+'DOE25'!J223+'DOE25'!J241</f>
        <v>216.23</v>
      </c>
      <c r="G12" s="53">
        <f>'DOE25'!K205+'DOE25'!K223+'DOE25'!K241</f>
        <v>27781.18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327606.32000000007</v>
      </c>
      <c r="D13" s="243"/>
      <c r="E13" s="20">
        <f>'DOE25'!L206+'DOE25'!L224+'DOE25'!L242-F13-G13</f>
        <v>325583.32000000007</v>
      </c>
      <c r="F13" s="255">
        <f>'DOE25'!J206+'DOE25'!J224+'DOE25'!J242</f>
        <v>0</v>
      </c>
      <c r="G13" s="53">
        <f>'DOE25'!K206+'DOE25'!K224+'DOE25'!K242</f>
        <v>2023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1958419.7299999997</v>
      </c>
      <c r="D14" s="20">
        <f>'DOE25'!L207+'DOE25'!L225+'DOE25'!L243-F14-G14</f>
        <v>1942329.2899999998</v>
      </c>
      <c r="E14" s="243"/>
      <c r="F14" s="255">
        <f>'DOE25'!J207+'DOE25'!J225+'DOE25'!J243</f>
        <v>16090.44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989141.98</v>
      </c>
      <c r="D15" s="20">
        <f>'DOE25'!L208+'DOE25'!L226+'DOE25'!L244-F15-G15</f>
        <v>989141.98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792530.2</v>
      </c>
      <c r="D16" s="243"/>
      <c r="E16" s="20">
        <f>'DOE25'!L209+'DOE25'!L227+'DOE25'!L245-F16-G16</f>
        <v>643818.22</v>
      </c>
      <c r="F16" s="255">
        <f>'DOE25'!J209+'DOE25'!J227+'DOE25'!J245</f>
        <v>147378.12</v>
      </c>
      <c r="G16" s="53">
        <f>'DOE25'!K209+'DOE25'!K227+'DOE25'!K245</f>
        <v>1333.86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36252</v>
      </c>
      <c r="D22" s="243"/>
      <c r="E22" s="243"/>
      <c r="F22" s="255">
        <f>'DOE25'!L255+'DOE25'!L336</f>
        <v>36252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286111.48</v>
      </c>
      <c r="D29" s="20">
        <f>'DOE25'!L358+'DOE25'!L359+'DOE25'!L360-'DOE25'!I367-F29-G29</f>
        <v>272347.55</v>
      </c>
      <c r="E29" s="243"/>
      <c r="F29" s="255">
        <f>'DOE25'!J358+'DOE25'!J359+'DOE25'!J360</f>
        <v>12520.02</v>
      </c>
      <c r="G29" s="53">
        <f>'DOE25'!K358+'DOE25'!K359+'DOE25'!K360</f>
        <v>1243.9100000000001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472382.85000000003</v>
      </c>
      <c r="D31" s="20">
        <f>'DOE25'!L290+'DOE25'!L309+'DOE25'!L328+'DOE25'!L333+'DOE25'!L334+'DOE25'!L335-F31-G31</f>
        <v>454018.85000000003</v>
      </c>
      <c r="E31" s="243"/>
      <c r="F31" s="255">
        <f>'DOE25'!J290+'DOE25'!J309+'DOE25'!J328+'DOE25'!J333+'DOE25'!J334+'DOE25'!J335</f>
        <v>18364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18933923.380000006</v>
      </c>
      <c r="E33" s="246">
        <f>SUM(E5:E31)</f>
        <v>1199716.4700000002</v>
      </c>
      <c r="F33" s="246">
        <f>SUM(F5:F31)</f>
        <v>295967.16000000003</v>
      </c>
      <c r="G33" s="246">
        <f>SUM(G5:G31)</f>
        <v>90099.51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1199716.4700000002</v>
      </c>
      <c r="E35" s="249"/>
    </row>
    <row r="36" spans="2:8" ht="12" thickTop="1" x14ac:dyDescent="0.2">
      <c r="B36" t="s">
        <v>814</v>
      </c>
      <c r="D36" s="20">
        <f>D33</f>
        <v>18933923.380000006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3" sqref="C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1378718.36</v>
      </c>
      <c r="D8" s="95">
        <f>'DOE25'!G9</f>
        <v>90540.87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4614.05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5959.43</v>
      </c>
      <c r="E12" s="95">
        <f>'DOE25'!H13</f>
        <v>87256.67</v>
      </c>
      <c r="F12" s="95">
        <f>'DOE25'!I13</f>
        <v>0</v>
      </c>
      <c r="G12" s="95">
        <f>'DOE25'!J13</f>
        <v>255704.56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1650.67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1384983.08</v>
      </c>
      <c r="D18" s="41">
        <f>SUM(D8:D17)</f>
        <v>96500.299999999988</v>
      </c>
      <c r="E18" s="41">
        <f>SUM(E8:E17)</f>
        <v>87256.67</v>
      </c>
      <c r="F18" s="41">
        <f>SUM(F8:F17)</f>
        <v>0</v>
      </c>
      <c r="G18" s="41">
        <f>SUM(G8:G17)</f>
        <v>255704.56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36112.660000000003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43888.32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35473.410000000003</v>
      </c>
      <c r="D27" s="95">
        <f>'DOE25'!G28</f>
        <v>36.19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663501.6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13861.25</v>
      </c>
      <c r="E29" s="95">
        <f>'DOE25'!H30</f>
        <v>51144.01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742863.33</v>
      </c>
      <c r="D31" s="41">
        <f>SUM(D21:D30)</f>
        <v>13897.44</v>
      </c>
      <c r="E31" s="41">
        <f>SUM(E21:E30)</f>
        <v>87256.670000000013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82602.86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255704.56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82788.83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484330.92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642119.75</v>
      </c>
      <c r="D50" s="41">
        <f>SUM(D34:D49)</f>
        <v>82602.86</v>
      </c>
      <c r="E50" s="41">
        <f>SUM(E34:E49)</f>
        <v>0</v>
      </c>
      <c r="F50" s="41">
        <f>SUM(F34:F49)</f>
        <v>0</v>
      </c>
      <c r="G50" s="41">
        <f>SUM(G34:G49)</f>
        <v>255704.56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1384983.08</v>
      </c>
      <c r="D51" s="41">
        <f>D50+D31</f>
        <v>96500.3</v>
      </c>
      <c r="E51" s="41">
        <f>E50+E31</f>
        <v>87256.670000000013</v>
      </c>
      <c r="F51" s="41">
        <f>F50+F31</f>
        <v>0</v>
      </c>
      <c r="G51" s="41">
        <f>G50+G31</f>
        <v>255704.56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12328478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45687.5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9070.89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983.63</v>
      </c>
      <c r="D59" s="95">
        <f>'DOE25'!G96</f>
        <v>9.24</v>
      </c>
      <c r="E59" s="95">
        <f>'DOE25'!H96</f>
        <v>0</v>
      </c>
      <c r="F59" s="95">
        <f>'DOE25'!I96</f>
        <v>0</v>
      </c>
      <c r="G59" s="95">
        <f>'DOE25'!J96</f>
        <v>465.41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384651.72000000003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42196.06</v>
      </c>
      <c r="D61" s="95">
        <f>SUM('DOE25'!G98:G110)</f>
        <v>0</v>
      </c>
      <c r="E61" s="95">
        <f>SUM('DOE25'!H98:H110)</f>
        <v>21147.56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97938.079999999987</v>
      </c>
      <c r="D62" s="130">
        <f>SUM(D57:D61)</f>
        <v>384660.96</v>
      </c>
      <c r="E62" s="130">
        <f>SUM(E57:E61)</f>
        <v>21147.56</v>
      </c>
      <c r="F62" s="130">
        <f>SUM(F57:F61)</f>
        <v>0</v>
      </c>
      <c r="G62" s="130">
        <f>SUM(G57:G61)</f>
        <v>465.41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12426416.08</v>
      </c>
      <c r="D63" s="22">
        <f>D56+D62</f>
        <v>384660.96</v>
      </c>
      <c r="E63" s="22">
        <f>E56+E62</f>
        <v>21147.56</v>
      </c>
      <c r="F63" s="22">
        <f>F56+F62</f>
        <v>0</v>
      </c>
      <c r="G63" s="22">
        <f>G56+G62</f>
        <v>465.41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5513558.7400000002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1977558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7491116.7400000002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92717.13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11753.39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5437.95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104470.52</v>
      </c>
      <c r="D78" s="130">
        <f>SUM(D72:D77)</f>
        <v>5437.95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7595587.2599999998</v>
      </c>
      <c r="D81" s="130">
        <f>SUM(D79:D80)+D78+D70</f>
        <v>5437.95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127850.24000000001</v>
      </c>
      <c r="D88" s="95">
        <f>SUM('DOE25'!G153:G161)</f>
        <v>102734.06</v>
      </c>
      <c r="E88" s="95">
        <f>SUM('DOE25'!H153:H161)</f>
        <v>451235.29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127850.24000000001</v>
      </c>
      <c r="D91" s="131">
        <f>SUM(D85:D90)</f>
        <v>102734.06</v>
      </c>
      <c r="E91" s="131">
        <f>SUM(E85:E90)</f>
        <v>451235.29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764</v>
      </c>
      <c r="C104" s="86">
        <f>C63+C81+C91+C103</f>
        <v>20149853.579999998</v>
      </c>
      <c r="D104" s="86">
        <f>D63+D81+D91+D103</f>
        <v>492832.97000000003</v>
      </c>
      <c r="E104" s="86">
        <f>E63+E81+E91+E103</f>
        <v>472382.85</v>
      </c>
      <c r="F104" s="86">
        <f>F63+F81+F91+F103</f>
        <v>0</v>
      </c>
      <c r="G104" s="86">
        <f>G63+G81+G103</f>
        <v>100465.41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8000628.6600000001</v>
      </c>
      <c r="D109" s="24" t="s">
        <v>288</v>
      </c>
      <c r="E109" s="95">
        <f>('DOE25'!L276)+('DOE25'!L295)+('DOE25'!L314)</f>
        <v>85614.670000000013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2855788.5700000003</v>
      </c>
      <c r="D110" s="24" t="s">
        <v>288</v>
      </c>
      <c r="E110" s="95">
        <f>('DOE25'!L277)+('DOE25'!L296)+('DOE25'!L315)</f>
        <v>201584.76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28713.84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485840.78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11875.51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11382847.359999999</v>
      </c>
      <c r="D115" s="86">
        <f>SUM(D109:D114)</f>
        <v>0</v>
      </c>
      <c r="E115" s="86">
        <f>SUM(E109:E114)</f>
        <v>287199.43000000005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1656312.4600000002</v>
      </c>
      <c r="D118" s="24" t="s">
        <v>288</v>
      </c>
      <c r="E118" s="95">
        <f>+('DOE25'!L281)+('DOE25'!L300)+('DOE25'!L319)</f>
        <v>114291.5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772381.53</v>
      </c>
      <c r="D119" s="24" t="s">
        <v>288</v>
      </c>
      <c r="E119" s="95">
        <f>+('DOE25'!L282)+('DOE25'!L301)+('DOE25'!L320)</f>
        <v>37244.36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611028.70000000007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1230627.4200000002</v>
      </c>
      <c r="D121" s="24" t="s">
        <v>288</v>
      </c>
      <c r="E121" s="95">
        <f>+('DOE25'!L284)+('DOE25'!L303)+('DOE25'!L322)</f>
        <v>12500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327606.32000000007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1958419.7299999997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989141.98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792530.2</v>
      </c>
      <c r="D125" s="24" t="s">
        <v>288</v>
      </c>
      <c r="E125" s="95">
        <f>+('DOE25'!L288)+('DOE25'!L307)+('DOE25'!L326)</f>
        <v>21147.56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519483.08999999997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8338048.3400000008</v>
      </c>
      <c r="D128" s="86">
        <f>SUM(D118:D127)</f>
        <v>519483.08999999997</v>
      </c>
      <c r="E128" s="86">
        <f>SUM(E118:E127)</f>
        <v>185183.41999999998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36252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100465.41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-465.41000000000349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136252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19857147.699999999</v>
      </c>
      <c r="D145" s="86">
        <f>(D115+D128+D144)</f>
        <v>519483.08999999997</v>
      </c>
      <c r="E145" s="86">
        <f>(E115+E128+E144)</f>
        <v>472382.85000000003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LITCHFIELD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16017</v>
      </c>
    </row>
    <row r="5" spans="1:4" x14ac:dyDescent="0.2">
      <c r="B5" t="s">
        <v>703</v>
      </c>
      <c r="C5" s="179">
        <f>IF('DOE25'!G665+'DOE25'!G670=0,0,ROUND('DOE25'!G672,0))</f>
        <v>13432</v>
      </c>
    </row>
    <row r="6" spans="1:4" x14ac:dyDescent="0.2">
      <c r="B6" t="s">
        <v>62</v>
      </c>
      <c r="C6" s="179">
        <f>IF('DOE25'!H665+'DOE25'!H670=0,0,ROUND('DOE25'!H672,0))</f>
        <v>14702</v>
      </c>
    </row>
    <row r="7" spans="1:4" x14ac:dyDescent="0.2">
      <c r="B7" t="s">
        <v>704</v>
      </c>
      <c r="C7" s="179">
        <f>IF('DOE25'!I665+'DOE25'!I670=0,0,ROUND('DOE25'!I672,0))</f>
        <v>14644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8086243</v>
      </c>
      <c r="D10" s="182">
        <f>ROUND((C10/$C$28)*100,1)</f>
        <v>39.799999999999997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3057373</v>
      </c>
      <c r="D11" s="182">
        <f>ROUND((C11/$C$28)*100,1)</f>
        <v>15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28714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485841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1770604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809626</v>
      </c>
      <c r="D16" s="182">
        <f t="shared" si="0"/>
        <v>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1424706</v>
      </c>
      <c r="D17" s="182">
        <f t="shared" si="0"/>
        <v>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1243127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327606</v>
      </c>
      <c r="D19" s="182">
        <f t="shared" si="0"/>
        <v>1.6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1958420</v>
      </c>
      <c r="D20" s="182">
        <f t="shared" si="0"/>
        <v>9.6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989142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11876</v>
      </c>
      <c r="D23" s="182">
        <f t="shared" si="0"/>
        <v>0.1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134831.27999999997</v>
      </c>
      <c r="D27" s="182">
        <f t="shared" si="0"/>
        <v>0.7</v>
      </c>
    </row>
    <row r="28" spans="1:4" x14ac:dyDescent="0.2">
      <c r="B28" s="187" t="s">
        <v>722</v>
      </c>
      <c r="C28" s="180">
        <f>SUM(C10:C27)</f>
        <v>20328109.280000001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36252</v>
      </c>
    </row>
    <row r="30" spans="1:4" x14ac:dyDescent="0.2">
      <c r="B30" s="187" t="s">
        <v>728</v>
      </c>
      <c r="C30" s="180">
        <f>SUM(C28:C29)</f>
        <v>20364361.280000001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12328478</v>
      </c>
      <c r="D35" s="182">
        <f t="shared" ref="D35:D40" si="1">ROUND((C35/$C$41)*100,1)</f>
        <v>59.5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119560.29000000097</v>
      </c>
      <c r="D36" s="182">
        <f t="shared" si="1"/>
        <v>0.6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7491117</v>
      </c>
      <c r="D37" s="182">
        <f t="shared" si="1"/>
        <v>36.1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109908</v>
      </c>
      <c r="D38" s="182">
        <f t="shared" si="1"/>
        <v>0.5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681820</v>
      </c>
      <c r="D39" s="182">
        <f t="shared" si="1"/>
        <v>3.3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20730883.289999999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1" sqref="C51:M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LITCHFIELD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2017-09-05T16:20:12Z</cp:lastPrinted>
  <dcterms:created xsi:type="dcterms:W3CDTF">1997-12-04T19:04:30Z</dcterms:created>
  <dcterms:modified xsi:type="dcterms:W3CDTF">2017-12-04T19:52:46Z</dcterms:modified>
</cp:coreProperties>
</file>