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F48" i="2" l="1"/>
  <c r="E48" i="2"/>
  <c r="D48" i="2"/>
  <c r="C48" i="2"/>
  <c r="I455" i="1"/>
  <c r="J45" i="1" s="1"/>
  <c r="G44" i="2" s="1"/>
  <c r="I458" i="1"/>
  <c r="J39" i="1" s="1"/>
  <c r="G38" i="2" s="1"/>
  <c r="C68" i="2"/>
  <c r="B2" i="13"/>
  <c r="D39" i="13"/>
  <c r="F17" i="13"/>
  <c r="G17" i="13"/>
  <c r="L251" i="1"/>
  <c r="F18" i="13"/>
  <c r="G18" i="13"/>
  <c r="L252" i="1"/>
  <c r="F19" i="13"/>
  <c r="G19" i="13"/>
  <c r="L253" i="1"/>
  <c r="L359" i="1"/>
  <c r="L333" i="1"/>
  <c r="L334" i="1"/>
  <c r="L335" i="1"/>
  <c r="L341" i="1"/>
  <c r="L342" i="1"/>
  <c r="L255" i="1"/>
  <c r="L336" i="1"/>
  <c r="C11" i="13"/>
  <c r="C10" i="13"/>
  <c r="C9" i="13"/>
  <c r="L361" i="1"/>
  <c r="B4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J60" i="1"/>
  <c r="G59" i="2"/>
  <c r="G61" i="2"/>
  <c r="F2" i="11"/>
  <c r="L613" i="1"/>
  <c r="L612" i="1"/>
  <c r="L611" i="1"/>
  <c r="C40" i="10"/>
  <c r="J111" i="1"/>
  <c r="J112" i="1" s="1"/>
  <c r="G121" i="1"/>
  <c r="H121" i="1"/>
  <c r="I121" i="1"/>
  <c r="J121" i="1"/>
  <c r="J136" i="1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5" i="1"/>
  <c r="L346" i="1"/>
  <c r="L347" i="1"/>
  <c r="L536" i="1"/>
  <c r="I549" i="1" s="1"/>
  <c r="L537" i="1"/>
  <c r="I550" i="1" s="1"/>
  <c r="L538" i="1"/>
  <c r="I551" i="1" s="1"/>
  <c r="J270" i="1"/>
  <c r="I270" i="1"/>
  <c r="H270" i="1"/>
  <c r="G270" i="1"/>
  <c r="F270" i="1"/>
  <c r="A1" i="2"/>
  <c r="A2" i="2"/>
  <c r="I439" i="1"/>
  <c r="J9" i="1" s="1"/>
  <c r="G8" i="2" s="1"/>
  <c r="I440" i="1"/>
  <c r="J10" i="1" s="1"/>
  <c r="G9" i="2" s="1"/>
  <c r="I441" i="1"/>
  <c r="I442" i="1"/>
  <c r="J13" i="1" s="1"/>
  <c r="G12" i="2" s="1"/>
  <c r="I443" i="1"/>
  <c r="J14" i="1" s="1"/>
  <c r="G13" i="2" s="1"/>
  <c r="I444" i="1"/>
  <c r="J17" i="1" s="1"/>
  <c r="I445" i="1"/>
  <c r="J18" i="1" s="1"/>
  <c r="G17" i="2" s="1"/>
  <c r="I448" i="1"/>
  <c r="J22" i="1" s="1"/>
  <c r="I449" i="1"/>
  <c r="I450" i="1"/>
  <c r="J24" i="1" s="1"/>
  <c r="G23" i="2" s="1"/>
  <c r="I451" i="1"/>
  <c r="J31" i="1" s="1"/>
  <c r="G30" i="2" s="1"/>
  <c r="I454" i="1"/>
  <c r="J49" i="1" s="1"/>
  <c r="G48" i="2" s="1"/>
  <c r="I456" i="1"/>
  <c r="I457" i="1"/>
  <c r="J37" i="1" s="1"/>
  <c r="G36" i="2" s="1"/>
  <c r="I459" i="1"/>
  <c r="J48" i="1" s="1"/>
  <c r="G47" i="2" s="1"/>
  <c r="C69" i="2"/>
  <c r="D69" i="2"/>
  <c r="D70" i="2" s="1"/>
  <c r="E69" i="2"/>
  <c r="E70" i="2" s="1"/>
  <c r="F69" i="2"/>
  <c r="F70" i="2" s="1"/>
  <c r="G69" i="2"/>
  <c r="G70" i="2" s="1"/>
  <c r="F72" i="2"/>
  <c r="F73" i="2"/>
  <c r="F76" i="2"/>
  <c r="G77" i="2"/>
  <c r="G78" i="2" s="1"/>
  <c r="G81" i="2" s="1"/>
  <c r="C93" i="2"/>
  <c r="F93" i="2"/>
  <c r="C94" i="2"/>
  <c r="F94" i="2"/>
  <c r="E96" i="2"/>
  <c r="G97" i="2"/>
  <c r="G98" i="2"/>
  <c r="C101" i="2"/>
  <c r="D101" i="2"/>
  <c r="E101" i="2"/>
  <c r="F101" i="2"/>
  <c r="C102" i="2"/>
  <c r="D102" i="2"/>
  <c r="E102" i="2"/>
  <c r="F102" i="2"/>
  <c r="D115" i="2"/>
  <c r="F115" i="2"/>
  <c r="G115" i="2"/>
  <c r="F128" i="2"/>
  <c r="G128" i="2"/>
  <c r="D134" i="2"/>
  <c r="D144" i="2" s="1"/>
  <c r="F134" i="2"/>
  <c r="K419" i="1"/>
  <c r="K427" i="1"/>
  <c r="K433" i="1"/>
  <c r="L264" i="1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H500" i="1"/>
  <c r="I500" i="1"/>
  <c r="J500" i="1"/>
  <c r="B162" i="2"/>
  <c r="C162" i="2"/>
  <c r="D162" i="2"/>
  <c r="E162" i="2"/>
  <c r="F162" i="2"/>
  <c r="B163" i="2"/>
  <c r="C163" i="2"/>
  <c r="D163" i="2"/>
  <c r="E163" i="2"/>
  <c r="F163" i="2"/>
  <c r="F503" i="1"/>
  <c r="G503" i="1"/>
  <c r="H503" i="1"/>
  <c r="I503" i="1"/>
  <c r="J503" i="1"/>
  <c r="F177" i="1"/>
  <c r="I177" i="1"/>
  <c r="F256" i="1"/>
  <c r="G256" i="1"/>
  <c r="H256" i="1"/>
  <c r="I256" i="1"/>
  <c r="J256" i="1"/>
  <c r="K256" i="1"/>
  <c r="F337" i="1"/>
  <c r="G337" i="1"/>
  <c r="H337" i="1"/>
  <c r="I337" i="1"/>
  <c r="J337" i="1"/>
  <c r="K337" i="1"/>
  <c r="G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F461" i="1" s="1"/>
  <c r="H639" i="1" s="1"/>
  <c r="G452" i="1"/>
  <c r="H452" i="1"/>
  <c r="F460" i="1"/>
  <c r="G460" i="1"/>
  <c r="H460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39" i="1"/>
  <c r="G539" i="1"/>
  <c r="H539" i="1"/>
  <c r="I539" i="1"/>
  <c r="J539" i="1"/>
  <c r="K539" i="1"/>
  <c r="L557" i="1"/>
  <c r="L558" i="1"/>
  <c r="L559" i="1"/>
  <c r="F560" i="1"/>
  <c r="G560" i="1"/>
  <c r="H560" i="1"/>
  <c r="I560" i="1"/>
  <c r="J560" i="1"/>
  <c r="K560" i="1"/>
  <c r="K602" i="1"/>
  <c r="K603" i="1"/>
  <c r="F614" i="1"/>
  <c r="G614" i="1"/>
  <c r="H614" i="1"/>
  <c r="I614" i="1"/>
  <c r="J614" i="1"/>
  <c r="K614" i="1"/>
  <c r="H636" i="1"/>
  <c r="H638" i="1"/>
  <c r="G643" i="1"/>
  <c r="G644" i="1"/>
  <c r="G653" i="1"/>
  <c r="H653" i="1"/>
  <c r="G408" i="1" l="1"/>
  <c r="H645" i="1" s="1"/>
  <c r="H408" i="1"/>
  <c r="H644" i="1" s="1"/>
  <c r="J644" i="1" s="1"/>
  <c r="E143" i="2"/>
  <c r="I408" i="1"/>
  <c r="E131" i="2"/>
  <c r="E113" i="2"/>
  <c r="E137" i="2"/>
  <c r="F130" i="2"/>
  <c r="F144" i="2" s="1"/>
  <c r="F145" i="2" s="1"/>
  <c r="I552" i="1"/>
  <c r="H461" i="1"/>
  <c r="H641" i="1" s="1"/>
  <c r="J641" i="1" s="1"/>
  <c r="J140" i="1"/>
  <c r="E114" i="2"/>
  <c r="L560" i="1"/>
  <c r="C164" i="2"/>
  <c r="F161" i="2"/>
  <c r="B161" i="2"/>
  <c r="K503" i="1"/>
  <c r="F164" i="2"/>
  <c r="B164" i="2"/>
  <c r="E161" i="2"/>
  <c r="E164" i="2"/>
  <c r="D161" i="2"/>
  <c r="G157" i="2"/>
  <c r="D164" i="2"/>
  <c r="J639" i="1"/>
  <c r="G461" i="1"/>
  <c r="H640" i="1" s="1"/>
  <c r="J640" i="1" s="1"/>
  <c r="L433" i="1"/>
  <c r="L427" i="1"/>
  <c r="L393" i="1"/>
  <c r="E135" i="2"/>
  <c r="E142" i="2"/>
  <c r="E130" i="2"/>
  <c r="C136" i="2"/>
  <c r="C143" i="2"/>
  <c r="C26" i="10"/>
  <c r="C29" i="10"/>
  <c r="C113" i="2"/>
  <c r="D17" i="13"/>
  <c r="C17" i="13" s="1"/>
  <c r="G62" i="2"/>
  <c r="J643" i="1"/>
  <c r="G56" i="2"/>
  <c r="L401" i="1"/>
  <c r="E132" i="2"/>
  <c r="D18" i="13"/>
  <c r="C18" i="13" s="1"/>
  <c r="L539" i="1"/>
  <c r="L382" i="1"/>
  <c r="G636" i="1" s="1"/>
  <c r="J636" i="1" s="1"/>
  <c r="J43" i="1"/>
  <c r="J51" i="1" s="1"/>
  <c r="I460" i="1"/>
  <c r="J23" i="1"/>
  <c r="G22" i="2" s="1"/>
  <c r="I452" i="1"/>
  <c r="L419" i="1"/>
  <c r="C130" i="2"/>
  <c r="F22" i="13"/>
  <c r="C22" i="13" s="1"/>
  <c r="C114" i="2"/>
  <c r="D19" i="13"/>
  <c r="C19" i="13" s="1"/>
  <c r="L614" i="1"/>
  <c r="L256" i="1"/>
  <c r="C161" i="2"/>
  <c r="K500" i="1"/>
  <c r="G156" i="2"/>
  <c r="J12" i="1"/>
  <c r="G11" i="2" s="1"/>
  <c r="I446" i="1"/>
  <c r="G642" i="1" s="1"/>
  <c r="L337" i="1"/>
  <c r="C23" i="10"/>
  <c r="G163" i="2"/>
  <c r="G162" i="2"/>
  <c r="G160" i="2"/>
  <c r="G159" i="2"/>
  <c r="G158" i="2"/>
  <c r="C24" i="10"/>
  <c r="L407" i="1"/>
  <c r="J653" i="1"/>
  <c r="G21" i="2"/>
  <c r="G31" i="2" s="1"/>
  <c r="J434" i="1"/>
  <c r="F434" i="1"/>
  <c r="K434" i="1"/>
  <c r="G16" i="2"/>
  <c r="H434" i="1"/>
  <c r="I434" i="1"/>
  <c r="G434" i="1"/>
  <c r="G63" i="2" l="1"/>
  <c r="J19" i="1"/>
  <c r="G621" i="1" s="1"/>
  <c r="J32" i="1"/>
  <c r="L434" i="1"/>
  <c r="G638" i="1" s="1"/>
  <c r="J638" i="1" s="1"/>
  <c r="G164" i="2"/>
  <c r="G161" i="2"/>
  <c r="G18" i="2"/>
  <c r="I461" i="1"/>
  <c r="H642" i="1" s="1"/>
  <c r="J642" i="1" s="1"/>
  <c r="G42" i="2"/>
  <c r="G50" i="2" s="1"/>
  <c r="G51" i="2" s="1"/>
  <c r="G134" i="2"/>
  <c r="G144" i="2" s="1"/>
  <c r="G145" i="2" s="1"/>
  <c r="C140" i="2"/>
  <c r="C139" i="2"/>
  <c r="C138" i="2"/>
  <c r="L408" i="1"/>
  <c r="G626" i="1"/>
  <c r="J52" i="1"/>
  <c r="H621" i="1" s="1"/>
  <c r="J621" i="1" l="1"/>
  <c r="G637" i="1"/>
  <c r="H646" i="1"/>
  <c r="F43" i="2" l="1"/>
  <c r="F47" i="2"/>
  <c r="F23" i="2"/>
  <c r="F29" i="2"/>
  <c r="F36" i="2"/>
  <c r="F26" i="2"/>
  <c r="F30" i="2"/>
  <c r="F38" i="2"/>
  <c r="F25" i="2"/>
  <c r="F27" i="2"/>
  <c r="F42" i="2"/>
  <c r="F24" i="2"/>
  <c r="F22" i="2"/>
  <c r="F28" i="2"/>
  <c r="F35" i="2"/>
  <c r="F8" i="2" l="1"/>
  <c r="F34" i="2"/>
  <c r="F9" i="2"/>
  <c r="E11" i="2"/>
  <c r="E29" i="2"/>
  <c r="D22" i="2"/>
  <c r="D35" i="2"/>
  <c r="D39" i="2"/>
  <c r="D47" i="2"/>
  <c r="E35" i="2"/>
  <c r="E43" i="2"/>
  <c r="E22" i="2"/>
  <c r="E47" i="2"/>
  <c r="E42" i="2"/>
  <c r="E38" i="2"/>
  <c r="E30" i="2"/>
  <c r="E44" i="2"/>
  <c r="E36" i="2"/>
  <c r="E24" i="2"/>
  <c r="D44" i="2"/>
  <c r="D42" i="2"/>
  <c r="D38" i="2"/>
  <c r="D36" i="2"/>
  <c r="D30" i="2"/>
  <c r="D43" i="2"/>
  <c r="D24" i="2"/>
  <c r="L305" i="1"/>
  <c r="E27" i="2"/>
  <c r="E23" i="2"/>
  <c r="D29" i="2"/>
  <c r="C9" i="2"/>
  <c r="D15" i="2"/>
  <c r="E13" i="2"/>
  <c r="L324" i="1" l="1"/>
  <c r="L306" i="1"/>
  <c r="L285" i="1"/>
  <c r="G362" i="1"/>
  <c r="I147" i="1"/>
  <c r="F77" i="2"/>
  <c r="F78" i="2" s="1"/>
  <c r="F81" i="2" s="1"/>
  <c r="I136" i="1"/>
  <c r="I140" i="1" s="1"/>
  <c r="F100" i="2"/>
  <c r="I111" i="1"/>
  <c r="F59" i="2"/>
  <c r="F88" i="2"/>
  <c r="L279" i="1"/>
  <c r="L286" i="1"/>
  <c r="L325" i="1"/>
  <c r="L317" i="1"/>
  <c r="L344" i="1"/>
  <c r="K351" i="1"/>
  <c r="L303" i="1"/>
  <c r="E34" i="2"/>
  <c r="E50" i="2" s="1"/>
  <c r="H51" i="1"/>
  <c r="G51" i="1"/>
  <c r="D34" i="2"/>
  <c r="D50" i="2" s="1"/>
  <c r="F97" i="2"/>
  <c r="F96" i="2"/>
  <c r="I183" i="1"/>
  <c r="G654" i="1"/>
  <c r="I60" i="1"/>
  <c r="G29" i="13"/>
  <c r="K362" i="1"/>
  <c r="L284" i="1"/>
  <c r="L323" i="1"/>
  <c r="L307" i="1"/>
  <c r="I162" i="1"/>
  <c r="I169" i="1" s="1"/>
  <c r="F87" i="2"/>
  <c r="F89" i="2"/>
  <c r="F362" i="1"/>
  <c r="F29" i="13"/>
  <c r="J362" i="1"/>
  <c r="L322" i="1"/>
  <c r="L288" i="1"/>
  <c r="L287" i="1"/>
  <c r="L326" i="1"/>
  <c r="E21" i="2"/>
  <c r="L300" i="1"/>
  <c r="D27" i="2"/>
  <c r="D9" i="2"/>
  <c r="F99" i="2"/>
  <c r="I188" i="1"/>
  <c r="F61" i="2"/>
  <c r="L319" i="1"/>
  <c r="L281" i="1"/>
  <c r="I32" i="1"/>
  <c r="F21" i="2"/>
  <c r="F31" i="2" s="1"/>
  <c r="L304" i="1"/>
  <c r="L298" i="1"/>
  <c r="E9" i="2"/>
  <c r="E12" i="2"/>
  <c r="E28" i="2"/>
  <c r="D28" i="2"/>
  <c r="H570" i="1"/>
  <c r="J544" i="1"/>
  <c r="H362" i="1"/>
  <c r="D89" i="2"/>
  <c r="F16" i="2"/>
  <c r="F11" i="2"/>
  <c r="F85" i="2" l="1"/>
  <c r="E123" i="2"/>
  <c r="I544" i="1"/>
  <c r="K594" i="1"/>
  <c r="E122" i="2"/>
  <c r="J529" i="1"/>
  <c r="G529" i="1"/>
  <c r="I570" i="1"/>
  <c r="G544" i="1"/>
  <c r="I565" i="1"/>
  <c r="E118" i="2"/>
  <c r="G565" i="1"/>
  <c r="K570" i="1"/>
  <c r="L360" i="1"/>
  <c r="L568" i="1"/>
  <c r="F15" i="2"/>
  <c r="F17" i="2"/>
  <c r="D17" i="2"/>
  <c r="D99" i="2"/>
  <c r="G188" i="1"/>
  <c r="D77" i="2"/>
  <c r="D78" i="2" s="1"/>
  <c r="G136" i="1"/>
  <c r="G140" i="1" s="1"/>
  <c r="E61" i="2"/>
  <c r="H147" i="1"/>
  <c r="E79" i="2"/>
  <c r="L261" i="1"/>
  <c r="C8" i="2"/>
  <c r="I367" i="1"/>
  <c r="K529" i="1"/>
  <c r="H529" i="1"/>
  <c r="I529" i="1"/>
  <c r="L533" i="1"/>
  <c r="H551" i="1" s="1"/>
  <c r="G534" i="1"/>
  <c r="L531" i="1"/>
  <c r="F534" i="1"/>
  <c r="J565" i="1"/>
  <c r="K565" i="1"/>
  <c r="K571" i="1" s="1"/>
  <c r="G570" i="1"/>
  <c r="L569" i="1"/>
  <c r="F44" i="2"/>
  <c r="D8" i="2"/>
  <c r="H32" i="1"/>
  <c r="H52" i="1" s="1"/>
  <c r="H619" i="1" s="1"/>
  <c r="E125" i="2"/>
  <c r="F91" i="2"/>
  <c r="G624" i="1"/>
  <c r="E124" i="2"/>
  <c r="D16" i="2"/>
  <c r="E17" i="2"/>
  <c r="E16" i="2"/>
  <c r="D13" i="2"/>
  <c r="D100" i="2"/>
  <c r="E89" i="2"/>
  <c r="D98" i="2"/>
  <c r="E87" i="2"/>
  <c r="H162" i="1"/>
  <c r="G147" i="1"/>
  <c r="E80" i="2"/>
  <c r="G60" i="1"/>
  <c r="H60" i="1"/>
  <c r="L265" i="1"/>
  <c r="H654" i="1"/>
  <c r="J654" i="1" s="1"/>
  <c r="C10" i="2"/>
  <c r="L528" i="1"/>
  <c r="G551" i="1" s="1"/>
  <c r="L527" i="1"/>
  <c r="G550" i="1" s="1"/>
  <c r="J534" i="1"/>
  <c r="K534" i="1"/>
  <c r="H534" i="1"/>
  <c r="L532" i="1"/>
  <c r="H550" i="1" s="1"/>
  <c r="L563" i="1"/>
  <c r="K595" i="1"/>
  <c r="L567" i="1"/>
  <c r="F570" i="1"/>
  <c r="J570" i="1"/>
  <c r="E31" i="2"/>
  <c r="E51" i="2" s="1"/>
  <c r="I192" i="1"/>
  <c r="G623" i="1"/>
  <c r="F62" i="2"/>
  <c r="E15" i="2"/>
  <c r="F14" i="2"/>
  <c r="E98" i="2"/>
  <c r="D97" i="2"/>
  <c r="D79" i="2"/>
  <c r="D81" i="2" s="1"/>
  <c r="E99" i="2"/>
  <c r="H188" i="1"/>
  <c r="D59" i="2"/>
  <c r="G111" i="1"/>
  <c r="H111" i="1"/>
  <c r="E59" i="2"/>
  <c r="H136" i="1"/>
  <c r="H140" i="1" s="1"/>
  <c r="E76" i="2"/>
  <c r="D61" i="2"/>
  <c r="D60" i="2"/>
  <c r="L260" i="1"/>
  <c r="L526" i="1"/>
  <c r="F529" i="1"/>
  <c r="I534" i="1"/>
  <c r="F544" i="1"/>
  <c r="L562" i="1"/>
  <c r="F565" i="1"/>
  <c r="K597" i="1"/>
  <c r="K596" i="1"/>
  <c r="D12" i="2"/>
  <c r="D23" i="2"/>
  <c r="L358" i="1"/>
  <c r="F56" i="2"/>
  <c r="I112" i="1"/>
  <c r="F103" i="2"/>
  <c r="E8" i="2"/>
  <c r="E134" i="2"/>
  <c r="E144" i="2" s="1"/>
  <c r="L351" i="1"/>
  <c r="E112" i="2"/>
  <c r="F13" i="2"/>
  <c r="D11" i="2"/>
  <c r="F12" i="2"/>
  <c r="E97" i="2"/>
  <c r="H183" i="1"/>
  <c r="H79" i="1"/>
  <c r="E77" i="2"/>
  <c r="H94" i="1"/>
  <c r="E100" i="2"/>
  <c r="G162" i="1"/>
  <c r="D88" i="2"/>
  <c r="I362" i="1"/>
  <c r="G634" i="1" s="1"/>
  <c r="K544" i="1"/>
  <c r="L564" i="1"/>
  <c r="H565" i="1"/>
  <c r="H571" i="1" s="1"/>
  <c r="K593" i="1"/>
  <c r="L266" i="1"/>
  <c r="H655" i="1"/>
  <c r="D21" i="2"/>
  <c r="E88" i="2"/>
  <c r="E121" i="2"/>
  <c r="C44" i="2"/>
  <c r="C42" i="2"/>
  <c r="C43" i="2"/>
  <c r="C47" i="2"/>
  <c r="C11" i="2"/>
  <c r="C28" i="2"/>
  <c r="C27" i="2"/>
  <c r="L302" i="1"/>
  <c r="G309" i="1"/>
  <c r="J309" i="1"/>
  <c r="I309" i="1"/>
  <c r="I598" i="1"/>
  <c r="H650" i="1" s="1"/>
  <c r="J598" i="1"/>
  <c r="H651" i="1" s="1"/>
  <c r="I585" i="1"/>
  <c r="I578" i="1"/>
  <c r="I580" i="1"/>
  <c r="F369" i="1"/>
  <c r="L239" i="1"/>
  <c r="G15" i="13"/>
  <c r="G7" i="13"/>
  <c r="F12" i="13"/>
  <c r="F15" i="13"/>
  <c r="G6" i="13"/>
  <c r="G12" i="13"/>
  <c r="G13" i="13"/>
  <c r="G16" i="13"/>
  <c r="F8" i="13"/>
  <c r="G571" i="1" l="1"/>
  <c r="E58" i="2"/>
  <c r="K247" i="1"/>
  <c r="D31" i="2"/>
  <c r="D51" i="2" s="1"/>
  <c r="C137" i="2"/>
  <c r="L225" i="1"/>
  <c r="C141" i="2"/>
  <c r="C36" i="12"/>
  <c r="K309" i="1"/>
  <c r="G32" i="1"/>
  <c r="G52" i="1" s="1"/>
  <c r="H618" i="1" s="1"/>
  <c r="E57" i="2"/>
  <c r="L301" i="1"/>
  <c r="I579" i="1"/>
  <c r="I571" i="1"/>
  <c r="F60" i="1"/>
  <c r="F94" i="1"/>
  <c r="F6" i="13"/>
  <c r="F14" i="13"/>
  <c r="I211" i="1"/>
  <c r="H192" i="1"/>
  <c r="K270" i="1"/>
  <c r="L270" i="1" s="1"/>
  <c r="I193" i="1"/>
  <c r="G630" i="1" s="1"/>
  <c r="I19" i="1"/>
  <c r="G620" i="1" s="1"/>
  <c r="F18" i="2"/>
  <c r="F63" i="2"/>
  <c r="F104" i="2" s="1"/>
  <c r="L220" i="1"/>
  <c r="L565" i="1"/>
  <c r="H19" i="1"/>
  <c r="G619" i="1" s="1"/>
  <c r="J619" i="1" s="1"/>
  <c r="F571" i="1"/>
  <c r="E18" i="2"/>
  <c r="L570" i="1"/>
  <c r="C12" i="2"/>
  <c r="L215" i="1"/>
  <c r="F229" i="1"/>
  <c r="K229" i="1"/>
  <c r="L202" i="1"/>
  <c r="C13" i="2"/>
  <c r="L222" i="1"/>
  <c r="H229" i="1"/>
  <c r="L235" i="1"/>
  <c r="L223" i="1"/>
  <c r="I229" i="1"/>
  <c r="L243" i="1"/>
  <c r="L240" i="1"/>
  <c r="L227" i="1"/>
  <c r="G328" i="1"/>
  <c r="J524" i="1"/>
  <c r="J545" i="1" s="1"/>
  <c r="I576" i="1"/>
  <c r="I577" i="1"/>
  <c r="L542" i="1"/>
  <c r="J550" i="1" s="1"/>
  <c r="C40" i="12"/>
  <c r="C67" i="2"/>
  <c r="C61" i="2"/>
  <c r="C77" i="2"/>
  <c r="C75" i="2"/>
  <c r="C98" i="2"/>
  <c r="C100" i="2"/>
  <c r="H309" i="1"/>
  <c r="C26" i="2"/>
  <c r="C22" i="2"/>
  <c r="C23" i="2"/>
  <c r="C97" i="2"/>
  <c r="F183" i="1"/>
  <c r="C21" i="2"/>
  <c r="C15" i="2"/>
  <c r="C89" i="2"/>
  <c r="F661" i="1"/>
  <c r="D29" i="13"/>
  <c r="C29" i="13" s="1"/>
  <c r="G661" i="1"/>
  <c r="L362" i="1"/>
  <c r="E78" i="2"/>
  <c r="E81" i="2" s="1"/>
  <c r="C25" i="10"/>
  <c r="C132" i="2"/>
  <c r="D96" i="2"/>
  <c r="D103" i="2" s="1"/>
  <c r="G183" i="1"/>
  <c r="G192" i="1" s="1"/>
  <c r="G652" i="1"/>
  <c r="L221" i="1"/>
  <c r="L218" i="1"/>
  <c r="L242" i="1"/>
  <c r="F13" i="13"/>
  <c r="L234" i="1"/>
  <c r="L226" i="1"/>
  <c r="L321" i="1"/>
  <c r="F328" i="1"/>
  <c r="L314" i="1"/>
  <c r="I584" i="1"/>
  <c r="I575" i="1"/>
  <c r="I581" i="1"/>
  <c r="C35" i="10"/>
  <c r="C72" i="2"/>
  <c r="F136" i="1"/>
  <c r="F309" i="1"/>
  <c r="L295" i="1"/>
  <c r="C30" i="2"/>
  <c r="C25" i="2"/>
  <c r="C76" i="2"/>
  <c r="F188" i="1"/>
  <c r="C99" i="2"/>
  <c r="C17" i="2"/>
  <c r="L296" i="1"/>
  <c r="E103" i="2"/>
  <c r="J571" i="1"/>
  <c r="L263" i="1"/>
  <c r="H652" i="1"/>
  <c r="H661" i="1"/>
  <c r="L197" i="1"/>
  <c r="G5" i="13"/>
  <c r="B27" i="12"/>
  <c r="L199" i="1"/>
  <c r="J229" i="1"/>
  <c r="L205" i="1"/>
  <c r="H247" i="1"/>
  <c r="L245" i="1"/>
  <c r="L233" i="1"/>
  <c r="F247" i="1"/>
  <c r="L217" i="1"/>
  <c r="G229" i="1"/>
  <c r="L200" i="1"/>
  <c r="B36" i="12"/>
  <c r="G247" i="1"/>
  <c r="J247" i="1"/>
  <c r="I247" i="1"/>
  <c r="L238" i="1"/>
  <c r="L523" i="1"/>
  <c r="F551" i="1" s="1"/>
  <c r="I586" i="1"/>
  <c r="I583" i="1"/>
  <c r="L543" i="1"/>
  <c r="J551" i="1" s="1"/>
  <c r="B40" i="12"/>
  <c r="C90" i="2"/>
  <c r="C73" i="2"/>
  <c r="C88" i="2"/>
  <c r="J328" i="1"/>
  <c r="C24" i="2"/>
  <c r="C38" i="2"/>
  <c r="C34" i="2"/>
  <c r="C35" i="2"/>
  <c r="C29" i="2"/>
  <c r="F79" i="1"/>
  <c r="C79" i="2"/>
  <c r="C37" i="10"/>
  <c r="F121" i="1"/>
  <c r="C66" i="2"/>
  <c r="C70" i="2" s="1"/>
  <c r="C32" i="10"/>
  <c r="C131" i="2"/>
  <c r="H25" i="13"/>
  <c r="H112" i="1"/>
  <c r="E56" i="2"/>
  <c r="D85" i="2"/>
  <c r="D91" i="2" s="1"/>
  <c r="G169" i="1"/>
  <c r="G19" i="1"/>
  <c r="G618" i="1" s="1"/>
  <c r="F40" i="2"/>
  <c r="F50" i="2" s="1"/>
  <c r="F51" i="2" s="1"/>
  <c r="I51" i="1"/>
  <c r="E85" i="2"/>
  <c r="E91" i="2" s="1"/>
  <c r="H169" i="1"/>
  <c r="D127" i="2"/>
  <c r="D128" i="2" s="1"/>
  <c r="D145" i="2" s="1"/>
  <c r="I328" i="1"/>
  <c r="L203" i="1"/>
  <c r="L216" i="1"/>
  <c r="L244" i="1"/>
  <c r="L236" i="1"/>
  <c r="G14" i="13"/>
  <c r="F5" i="13"/>
  <c r="F7" i="13"/>
  <c r="L241" i="1"/>
  <c r="L224" i="1"/>
  <c r="H369" i="1"/>
  <c r="L522" i="1"/>
  <c r="F550" i="1" s="1"/>
  <c r="K524" i="1"/>
  <c r="K545" i="1" s="1"/>
  <c r="I582" i="1"/>
  <c r="I587" i="1"/>
  <c r="C87" i="2"/>
  <c r="F162" i="1"/>
  <c r="C74" i="2"/>
  <c r="C80" i="2"/>
  <c r="C59" i="2"/>
  <c r="F111" i="1"/>
  <c r="L320" i="1"/>
  <c r="C36" i="2"/>
  <c r="C16" i="2"/>
  <c r="F147" i="1"/>
  <c r="G96" i="2"/>
  <c r="G103" i="2" s="1"/>
  <c r="G104" i="2" s="1"/>
  <c r="G655" i="1"/>
  <c r="J655" i="1" s="1"/>
  <c r="J183" i="1"/>
  <c r="G549" i="1"/>
  <c r="G552" i="1" s="1"/>
  <c r="L529" i="1"/>
  <c r="D62" i="2"/>
  <c r="L297" i="1"/>
  <c r="D56" i="2"/>
  <c r="G112" i="1"/>
  <c r="D18" i="2"/>
  <c r="H549" i="1"/>
  <c r="H552" i="1" s="1"/>
  <c r="L534" i="1"/>
  <c r="L208" i="1"/>
  <c r="B18" i="12"/>
  <c r="I290" i="1"/>
  <c r="C27" i="12"/>
  <c r="K550" i="1" l="1"/>
  <c r="E62" i="2"/>
  <c r="C56" i="2"/>
  <c r="J618" i="1"/>
  <c r="C58" i="2"/>
  <c r="I338" i="1"/>
  <c r="I352" i="1" s="1"/>
  <c r="C135" i="2"/>
  <c r="E63" i="2"/>
  <c r="E104" i="2" s="1"/>
  <c r="H211" i="1"/>
  <c r="H257" i="1" s="1"/>
  <c r="H271" i="1" s="1"/>
  <c r="F19" i="1"/>
  <c r="G617" i="1" s="1"/>
  <c r="G193" i="1"/>
  <c r="G628" i="1" s="1"/>
  <c r="C57" i="2"/>
  <c r="H290" i="1"/>
  <c r="J290" i="1"/>
  <c r="L207" i="1"/>
  <c r="F140" i="1"/>
  <c r="C38" i="10" s="1"/>
  <c r="K328" i="1"/>
  <c r="L315" i="1"/>
  <c r="C18" i="2"/>
  <c r="C144" i="2"/>
  <c r="K551" i="1"/>
  <c r="C31" i="12"/>
  <c r="L571" i="1"/>
  <c r="D63" i="2"/>
  <c r="D104" i="2" s="1"/>
  <c r="L316" i="1"/>
  <c r="L328" i="1" s="1"/>
  <c r="D15" i="13"/>
  <c r="C15" i="13" s="1"/>
  <c r="G649" i="1"/>
  <c r="C21" i="10"/>
  <c r="C124" i="2"/>
  <c r="F662" i="1"/>
  <c r="H647" i="1"/>
  <c r="F290" i="1"/>
  <c r="F338" i="1" s="1"/>
  <c r="F352" i="1" s="1"/>
  <c r="L276" i="1"/>
  <c r="K592" i="1"/>
  <c r="H631" i="1"/>
  <c r="J470" i="1"/>
  <c r="J476" i="1" s="1"/>
  <c r="H626" i="1" s="1"/>
  <c r="J626" i="1" s="1"/>
  <c r="H637" i="1"/>
  <c r="J637" i="1" s="1"/>
  <c r="I470" i="1"/>
  <c r="I476" i="1" s="1"/>
  <c r="H625" i="1" s="1"/>
  <c r="H630" i="1"/>
  <c r="J630" i="1" s="1"/>
  <c r="H662" i="1"/>
  <c r="G651" i="1"/>
  <c r="J651" i="1" s="1"/>
  <c r="H328" i="1"/>
  <c r="H338" i="1" s="1"/>
  <c r="H352" i="1" s="1"/>
  <c r="B9" i="12"/>
  <c r="F112" i="1"/>
  <c r="C31" i="2"/>
  <c r="L229" i="1"/>
  <c r="J338" i="1"/>
  <c r="J352" i="1" s="1"/>
  <c r="F31" i="13"/>
  <c r="H544" i="1"/>
  <c r="L541" i="1"/>
  <c r="H598" i="1"/>
  <c r="H649" i="1" s="1"/>
  <c r="K591" i="1"/>
  <c r="K598" i="1" s="1"/>
  <c r="G647" i="1" s="1"/>
  <c r="B13" i="12"/>
  <c r="C85" i="2"/>
  <c r="C91" i="2" s="1"/>
  <c r="F169" i="1"/>
  <c r="C39" i="10" s="1"/>
  <c r="G625" i="1"/>
  <c r="I52" i="1"/>
  <c r="H620" i="1" s="1"/>
  <c r="J620" i="1" s="1"/>
  <c r="H193" i="1"/>
  <c r="G629" i="1" s="1"/>
  <c r="A40" i="12"/>
  <c r="C121" i="2"/>
  <c r="C18" i="10"/>
  <c r="D12" i="13"/>
  <c r="C12" i="13" s="1"/>
  <c r="C10" i="10"/>
  <c r="C109" i="2"/>
  <c r="L309" i="1"/>
  <c r="I257" i="1"/>
  <c r="I271" i="1" s="1"/>
  <c r="I661" i="1"/>
  <c r="C15" i="10"/>
  <c r="D6" i="13"/>
  <c r="C6" i="13" s="1"/>
  <c r="C118" i="2"/>
  <c r="L206" i="1"/>
  <c r="L278" i="1"/>
  <c r="H524" i="1"/>
  <c r="H545" i="1" s="1"/>
  <c r="B31" i="12"/>
  <c r="A31" i="12" s="1"/>
  <c r="L282" i="1"/>
  <c r="J605" i="1"/>
  <c r="J192" i="1"/>
  <c r="J193" i="1" s="1"/>
  <c r="G645" i="1"/>
  <c r="J645" i="1" s="1"/>
  <c r="D7" i="13"/>
  <c r="C7" i="13" s="1"/>
  <c r="C119" i="2"/>
  <c r="I368" i="1"/>
  <c r="I369" i="1" s="1"/>
  <c r="H634" i="1" s="1"/>
  <c r="J634" i="1" s="1"/>
  <c r="C112" i="2"/>
  <c r="C13" i="10"/>
  <c r="L247" i="1"/>
  <c r="C78" i="2"/>
  <c r="C81" i="2" s="1"/>
  <c r="G635" i="1"/>
  <c r="C27" i="10"/>
  <c r="F192" i="1"/>
  <c r="G290" i="1"/>
  <c r="G338" i="1" s="1"/>
  <c r="G352" i="1" s="1"/>
  <c r="I524" i="1"/>
  <c r="I545" i="1" s="1"/>
  <c r="G524" i="1"/>
  <c r="G545" i="1" s="1"/>
  <c r="L277" i="1"/>
  <c r="B22" i="12"/>
  <c r="L283" i="1"/>
  <c r="C25" i="13"/>
  <c r="H33" i="13"/>
  <c r="C111" i="2"/>
  <c r="F211" i="1"/>
  <c r="F257" i="1" s="1"/>
  <c r="F271" i="1" s="1"/>
  <c r="G650" i="1"/>
  <c r="J650" i="1" s="1"/>
  <c r="G662" i="1"/>
  <c r="C9" i="12"/>
  <c r="J652" i="1"/>
  <c r="F32" i="1"/>
  <c r="C103" i="2"/>
  <c r="H663" i="1"/>
  <c r="C62" i="2" l="1"/>
  <c r="J625" i="1"/>
  <c r="J647" i="1"/>
  <c r="D14" i="13"/>
  <c r="C14" i="13" s="1"/>
  <c r="C63" i="2"/>
  <c r="C104" i="2" s="1"/>
  <c r="C123" i="2"/>
  <c r="C20" i="10"/>
  <c r="E120" i="2"/>
  <c r="E110" i="2"/>
  <c r="E119" i="2"/>
  <c r="E128" i="2" s="1"/>
  <c r="H660" i="1"/>
  <c r="H664" i="1" s="1"/>
  <c r="E111" i="2"/>
  <c r="C12" i="10"/>
  <c r="F16" i="13"/>
  <c r="F33" i="13" s="1"/>
  <c r="J211" i="1"/>
  <c r="J257" i="1" s="1"/>
  <c r="C16" i="10"/>
  <c r="I662" i="1"/>
  <c r="L209" i="1"/>
  <c r="C22" i="12"/>
  <c r="H605" i="1"/>
  <c r="K604" i="1"/>
  <c r="K605" i="1" s="1"/>
  <c r="G648" i="1" s="1"/>
  <c r="F663" i="1"/>
  <c r="C19" i="10"/>
  <c r="E13" i="13"/>
  <c r="C13" i="13" s="1"/>
  <c r="C122" i="2"/>
  <c r="G8" i="13"/>
  <c r="K211" i="1"/>
  <c r="K257" i="1" s="1"/>
  <c r="K271" i="1" s="1"/>
  <c r="F193" i="1"/>
  <c r="G627" i="1" s="1"/>
  <c r="C36" i="10"/>
  <c r="L290" i="1"/>
  <c r="E109" i="2"/>
  <c r="I605" i="1"/>
  <c r="G663" i="1"/>
  <c r="J649" i="1"/>
  <c r="C18" i="12"/>
  <c r="G211" i="1"/>
  <c r="G257" i="1" s="1"/>
  <c r="G271" i="1" s="1"/>
  <c r="L198" i="1"/>
  <c r="G646" i="1"/>
  <c r="J646" i="1" s="1"/>
  <c r="G631" i="1"/>
  <c r="J631" i="1" s="1"/>
  <c r="K290" i="1"/>
  <c r="J549" i="1"/>
  <c r="J552" i="1" s="1"/>
  <c r="L544" i="1"/>
  <c r="G660" i="1"/>
  <c r="L521" i="1"/>
  <c r="F524" i="1"/>
  <c r="F545" i="1" s="1"/>
  <c r="L204" i="1"/>
  <c r="E115" i="2" l="1"/>
  <c r="E145" i="2" s="1"/>
  <c r="G664" i="1"/>
  <c r="G672" i="1" s="1"/>
  <c r="C5" i="10" s="1"/>
  <c r="A22" i="12"/>
  <c r="C13" i="12"/>
  <c r="A13" i="12" s="1"/>
  <c r="C49" i="2"/>
  <c r="C50" i="2" s="1"/>
  <c r="C51" i="2" s="1"/>
  <c r="F51" i="1"/>
  <c r="C125" i="2"/>
  <c r="E16" i="13"/>
  <c r="C16" i="13" s="1"/>
  <c r="F470" i="1"/>
  <c r="H627" i="1"/>
  <c r="J627" i="1" s="1"/>
  <c r="E8" i="13"/>
  <c r="C17" i="10"/>
  <c r="C120" i="2"/>
  <c r="G31" i="13"/>
  <c r="G33" i="13" s="1"/>
  <c r="K338" i="1"/>
  <c r="K352" i="1" s="1"/>
  <c r="L338" i="1"/>
  <c r="L352" i="1" s="1"/>
  <c r="G633" i="1" s="1"/>
  <c r="J271" i="1"/>
  <c r="H648" i="1"/>
  <c r="J648" i="1" s="1"/>
  <c r="C110" i="2"/>
  <c r="C115" i="2" s="1"/>
  <c r="C11" i="10"/>
  <c r="D5" i="13"/>
  <c r="L211" i="1"/>
  <c r="G474" i="1"/>
  <c r="H635" i="1"/>
  <c r="J635" i="1" s="1"/>
  <c r="C41" i="10"/>
  <c r="D36" i="10" s="1"/>
  <c r="H470" i="1"/>
  <c r="H629" i="1"/>
  <c r="J629" i="1" s="1"/>
  <c r="H628" i="1"/>
  <c r="J628" i="1" s="1"/>
  <c r="G470" i="1"/>
  <c r="G476" i="1" s="1"/>
  <c r="H623" i="1" s="1"/>
  <c r="J623" i="1" s="1"/>
  <c r="F549" i="1"/>
  <c r="L524" i="1"/>
  <c r="L545" i="1" s="1"/>
  <c r="I663" i="1"/>
  <c r="H667" i="1"/>
  <c r="H672" i="1"/>
  <c r="C6" i="10" s="1"/>
  <c r="G667" i="1" l="1"/>
  <c r="C128" i="2"/>
  <c r="C145" i="2" s="1"/>
  <c r="F474" i="1"/>
  <c r="F476" i="1" s="1"/>
  <c r="H622" i="1" s="1"/>
  <c r="H632" i="1"/>
  <c r="F552" i="1"/>
  <c r="K549" i="1"/>
  <c r="K552" i="1" s="1"/>
  <c r="C5" i="13"/>
  <c r="G622" i="1"/>
  <c r="F52" i="1"/>
  <c r="H617" i="1" s="1"/>
  <c r="J617" i="1" s="1"/>
  <c r="C28" i="10"/>
  <c r="C8" i="13"/>
  <c r="E33" i="13"/>
  <c r="D35" i="13" s="1"/>
  <c r="D38" i="10"/>
  <c r="D40" i="10"/>
  <c r="D37" i="10"/>
  <c r="D35" i="10"/>
  <c r="D39" i="10"/>
  <c r="D31" i="13"/>
  <c r="C31" i="13" s="1"/>
  <c r="F660" i="1"/>
  <c r="L257" i="1"/>
  <c r="L271" i="1" s="1"/>
  <c r="G632" i="1" s="1"/>
  <c r="J632" i="1" s="1"/>
  <c r="D23" i="10" l="1"/>
  <c r="D22" i="10"/>
  <c r="D26" i="10"/>
  <c r="D24" i="10"/>
  <c r="C30" i="10"/>
  <c r="D25" i="10"/>
  <c r="D21" i="10"/>
  <c r="D10" i="10"/>
  <c r="D15" i="10"/>
  <c r="D20" i="10"/>
  <c r="D18" i="10"/>
  <c r="D27" i="10"/>
  <c r="D13" i="10"/>
  <c r="D12" i="10"/>
  <c r="D19" i="10"/>
  <c r="D16" i="10"/>
  <c r="D17" i="10"/>
  <c r="D11" i="10"/>
  <c r="D33" i="13"/>
  <c r="D36" i="13" s="1"/>
  <c r="D41" i="10"/>
  <c r="F664" i="1"/>
  <c r="I660" i="1"/>
  <c r="I664" i="1" s="1"/>
  <c r="J622" i="1"/>
  <c r="I672" i="1" l="1"/>
  <c r="C7" i="10" s="1"/>
  <c r="I667" i="1"/>
  <c r="D28" i="10"/>
  <c r="F672" i="1"/>
  <c r="C4" i="10" s="1"/>
  <c r="F667" i="1"/>
  <c r="H474" i="1"/>
  <c r="H476" i="1" s="1"/>
  <c r="H624" i="1" s="1"/>
  <c r="H633" i="1"/>
  <c r="J633" i="1" s="1"/>
  <c r="J624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<sst xmlns="http://schemas.openxmlformats.org/spreadsheetml/2006/main" count="3960" uniqueCount="918">
  <si>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</si>
  <si>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</si>
  <si>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</si>
  <si>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</si>
  <si>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</si>
  <si>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</si>
  <si>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</si>
  <si>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</si>
  <si>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</si>
  <si>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</si>
  <si>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</si>
  <si>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</si>
  <si>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</si>
  <si>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</si>
  <si>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</si>
  <si>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</si>
  <si>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</si>
  <si>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</si>
  <si>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</si>
  <si>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</si>
  <si>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</si>
  <si>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</si>
  <si>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</si>
  <si>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</si>
  <si>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</si>
  <si>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</si>
  <si>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</si>
  <si>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</si>
  <si>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</si>
  <si>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</si>
  <si>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</si>
  <si>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</si>
  <si>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</si>
  <si>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</si>
  <si>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</si>
  <si>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</si>
  <si>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</si>
  <si>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</si>
  <si>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</si>
  <si>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</si>
  <si>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</si>
  <si>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</si>
  <si>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</si>
  <si>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</si>
  <si>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</si>
  <si>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</si>
  <si>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</si>
  <si>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</si>
  <si>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</si>
  <si>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</si>
  <si>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</si>
  <si>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</si>
  <si>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</si>
  <si>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</si>
  <si>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</si>
  <si>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</si>
  <si>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</si>
  <si>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</si>
  <si>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</si>
  <si>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</si>
  <si>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</si>
  <si>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</si>
  <si>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</si>
  <si>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</si>
  <si>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</si>
  <si>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</si>
  <si>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</si>
  <si>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</si>
  <si>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</si>
  <si>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</si>
  <si>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</si>
  <si>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</si>
  <si>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</si>
  <si>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</si>
  <si>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</si>
  <si>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</si>
  <si>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</si>
  <si>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</si>
  <si>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</si>
  <si>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</si>
  <si>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</si>
  <si>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</si>
  <si>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</si>
  <si>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</si>
  <si>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</si>
  <si>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</si>
  <si>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</si>
  <si>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</si>
  <si>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</si>
  <si>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</si>
  <si>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</si>
  <si>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</si>
  <si>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</si>
  <si>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</si>
  <si>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</si>
  <si>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</si>
  <si>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</si>
  <si>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</si>
  <si>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</si>
  <si>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</si>
  <si>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</si>
  <si>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</si>
  <si>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</si>
  <si>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</si>
  <si>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</si>
  <si>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</si>
  <si>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</si>
  <si>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</si>
  <si>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</si>
  <si>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</si>
  <si>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</si>
  <si>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</si>
  <si>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</si>
  <si>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</si>
  <si>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</si>
  <si>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</si>
  <si>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</si>
  <si>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</si>
  <si>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</si>
  <si>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</si>
  <si>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</si>
  <si>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</si>
  <si>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</si>
  <si>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</si>
  <si>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</si>
  <si>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</si>
  <si>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</si>
  <si>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</si>
  <si>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</si>
  <si>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</si>
  <si>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</si>
  <si>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</si>
  <si>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</si>
  <si>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</si>
  <si>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</si>
  <si>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</si>
  <si>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</si>
  <si>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</si>
  <si>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</si>
  <si>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</si>
  <si>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</si>
  <si>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</si>
  <si>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</si>
  <si>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</si>
  <si>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</si>
  <si>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</si>
  <si>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</si>
  <si>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</si>
  <si>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</si>
  <si>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</si>
  <si>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</si>
  <si>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</si>
  <si>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</si>
  <si>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</si>
  <si>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</si>
  <si>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</si>
  <si>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</si>
  <si>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</si>
  <si>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</si>
  <si>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</si>
  <si>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</si>
  <si>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</si>
  <si>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</si>
  <si>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</si>
  <si>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</si>
  <si>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</si>
  <si>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</si>
  <si>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</si>
  <si>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</si>
  <si>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</si>
  <si>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</si>
  <si>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</si>
  <si>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</si>
  <si>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</si>
  <si>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</si>
  <si>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</si>
  <si>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</si>
  <si>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</si>
  <si>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</si>
  <si>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</si>
  <si>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</si>
  <si>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</si>
  <si>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</si>
  <si>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</si>
  <si>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</si>
  <si>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</si>
  <si>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</si>
  <si>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</si>
  <si>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</si>
  <si>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</si>
  <si>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</si>
  <si>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</si>
  <si>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</si>
  <si>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</si>
  <si>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</si>
  <si>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</si>
  <si>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</si>
  <si>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</si>
  <si>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</si>
  <si>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</si>
  <si>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</si>
  <si>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</si>
  <si>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</si>
  <si>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</si>
  <si>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</si>
  <si>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</si>
  <si>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</si>
  <si>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</si>
  <si>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</si>
  <si>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</si>
  <si>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</si>
  <si>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</si>
  <si>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</si>
  <si>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</si>
  <si>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</si>
  <si>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</si>
  <si>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</si>
  <si>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</si>
  <si>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</si>
  <si>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</si>
  <si>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</si>
  <si>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</si>
  <si>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</si>
  <si>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</si>
  <si>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</si>
  <si>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</si>
  <si>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</si>
  <si>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</si>
  <si>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</si>
  <si>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</si>
  <si>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</si>
  <si>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</si>
  <si>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</si>
  <si>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</si>
  <si>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</si>
  <si>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</si>
  <si>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</si>
  <si>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</si>
  <si>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</si>
  <si>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</si>
  <si>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</si>
  <si>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</si>
  <si>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</si>
  <si>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</si>
  <si>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</si>
  <si>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</si>
  <si>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</si>
  <si>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</si>
  <si>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</si>
  <si>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</si>
  <si>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</si>
  <si>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</si>
  <si>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</si>
  <si>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</si>
  <si>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</si>
  <si>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</si>
  <si>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</si>
  <si>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</si>
  <si>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</si>
  <si>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</si>
  <si>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</si>
  <si>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</si>
  <si>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</si>
  <si>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</si>
  <si>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</si>
  <si>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</si>
  <si>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</si>
  <si>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</si>
  <si>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</si>
  <si>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</si>
  <si>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</si>
  <si>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</si>
  <si>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</si>
  <si>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</si>
  <si>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</si>
  <si>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</si>
  <si>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</si>
  <si>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</si>
  <si>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</si>
  <si>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</si>
  <si>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</si>
  <si>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</si>
  <si>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</si>
  <si>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</si>
  <si>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</si>
  <si>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</si>
  <si>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</si>
  <si>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</si>
  <si>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</si>
  <si>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</si>
  <si>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</si>
  <si>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</si>
  <si>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</si>
  <si>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</si>
  <si>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</si>
  <si>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</si>
  <si>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</si>
  <si>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</si>
  <si>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</si>
  <si>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</si>
  <si>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</si>
  <si>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</si>
  <si>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</si>
  <si>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</si>
  <si>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</si>
  <si>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</si>
  <si>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</si>
  <si>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</si>
  <si>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</si>
  <si>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</si>
  <si>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</si>
  <si>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</si>
  <si>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</si>
  <si>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</si>
  <si>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</si>
  <si>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</si>
  <si>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</si>
  <si>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</si>
  <si>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</si>
  <si>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</si>
  <si>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</si>
  <si>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</si>
  <si>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</si>
  <si>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</si>
  <si>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</si>
  <si>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</si>
  <si>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</si>
  <si>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</si>
  <si>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</si>
  <si>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</si>
  <si>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</si>
  <si>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</si>
  <si>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</si>
  <si>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</si>
  <si>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</si>
  <si>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</si>
  <si>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</si>
  <si>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</si>
  <si>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</si>
  <si>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</si>
  <si>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</si>
  <si>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</si>
  <si>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</si>
  <si>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</si>
  <si>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</si>
  <si>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</si>
  <si>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</si>
  <si>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</si>
  <si>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</si>
  <si>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</si>
  <si>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</si>
  <si>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</si>
  <si>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</si>
  <si>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</si>
  <si>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</si>
  <si>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</si>
  <si>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</si>
  <si>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</si>
  <si>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</si>
  <si>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</si>
  <si>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</si>
  <si>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</si>
  <si>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</si>
  <si>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</si>
  <si>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</si>
  <si>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</si>
  <si>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</si>
  <si>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</si>
  <si>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</si>
  <si>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</si>
  <si>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</si>
  <si>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</si>
  <si>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</si>
  <si>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</si>
  <si>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</si>
  <si>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</si>
  <si>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</si>
  <si>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</si>
  <si>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</si>
  <si>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</si>
  <si>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</si>
  <si>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</si>
  <si>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</si>
  <si>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</si>
  <si>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</si>
  <si>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</si>
  <si>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</si>
  <si>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</si>
  <si>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</si>
  <si>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</si>
  <si>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</si>
  <si>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</si>
  <si>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</si>
  <si>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</si>
  <si>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</si>
  <si>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</si>
  <si>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</si>
  <si>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</si>
  <si>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</si>
  <si>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</si>
  <si>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</si>
  <si>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</si>
  <si>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</si>
  <si>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</si>
  <si>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</si>
  <si>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</si>
  <si>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</si>
  <si>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</si>
  <si>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</si>
  <si>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</si>
  <si>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</si>
  <si>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</si>
  <si>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</si>
  <si>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</si>
  <si>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</si>
  <si>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</si>
  <si>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</si>
  <si>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</si>
  <si>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</si>
  <si>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</si>
  <si>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</si>
  <si>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</si>
  <si>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</si>
  <si>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</si>
  <si>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</si>
  <si>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</si>
  <si>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</si>
  <si>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</si>
  <si>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</si>
  <si>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</si>
  <si>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</si>
  <si>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</si>
  <si>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</si>
  <si>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</si>
  <si>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</si>
  <si>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</si>
  <si>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</si>
  <si>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</si>
  <si>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</si>
  <si>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</si>
  <si>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</si>
  <si>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</si>
  <si>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</si>
  <si>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</si>
  <si>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</si>
  <si>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</si>
  <si>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</si>
  <si>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</si>
  <si>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</si>
  <si>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</si>
  <si>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</si>
  <si>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</si>
  <si>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</si>
  <si>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</si>
  <si>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</si>
  <si>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</si>
  <si>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</si>
  <si>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</si>
  <si>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</si>
  <si>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</si>
  <si>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</si>
  <si>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</si>
  <si>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</si>
  <si>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</si>
  <si>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</si>
  <si>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</si>
  <si>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</si>
  <si>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</si>
  <si>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</si>
  <si>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</si>
  <si>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</si>
  <si>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</si>
  <si>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</si>
  <si>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</si>
  <si>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</si>
  <si>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</si>
  <si>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</si>
  <si>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</si>
  <si>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</si>
  <si>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</si>
  <si>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</si>
  <si>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</si>
  <si>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</si>
  <si>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</si>
  <si>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</si>
  <si>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</si>
  <si>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</si>
  <si>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</si>
  <si>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</si>
  <si>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</si>
  <si>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</si>
  <si>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</si>
  <si>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</si>
  <si>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</si>
  <si>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</si>
  <si>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</si>
  <si>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</si>
  <si>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</si>
  <si>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</si>
  <si>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</si>
  <si>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</si>
  <si>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</si>
  <si>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</si>
  <si>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</si>
  <si>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</si>
  <si>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</si>
  <si>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</si>
  <si>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</si>
  <si>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</si>
  <si>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</si>
  <si>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</si>
  <si>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</si>
  <si>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</si>
  <si>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</si>
  <si>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</si>
  <si>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</si>
  <si>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</si>
  <si>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</si>
  <si>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</si>
  <si>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</si>
  <si>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</si>
  <si>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</si>
  <si>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</si>
  <si>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</si>
  <si>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</si>
  <si>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</si>
  <si>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</si>
  <si>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</si>
  <si>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</si>
  <si>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</si>
  <si>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</si>
  <si>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</si>
  <si>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</si>
  <si>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</si>
  <si>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</si>
  <si>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</si>
  <si>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</si>
  <si>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</si>
  <si>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</si>
  <si>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</si>
  <si>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</si>
  <si>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</si>
  <si>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</si>
  <si>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</si>
  <si>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</si>
  <si>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</si>
  <si>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</si>
  <si>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</si>
  <si>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</si>
  <si>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</si>
  <si>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</si>
  <si>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</si>
  <si>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</si>
  <si>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</si>
  <si>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</si>
  <si>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</si>
  <si>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</si>
  <si>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</si>
  <si>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</si>
  <si>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</si>
  <si>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</si>
  <si>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</si>
  <si>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</si>
  <si>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</si>
  <si>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</si>
  <si>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</si>
  <si>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</si>
  <si>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</si>
  <si>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</si>
  <si>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</si>
  <si>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</si>
  <si>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</si>
  <si>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</si>
  <si>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</si>
  <si>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</si>
  <si>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</si>
  <si>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</si>
  <si>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</si>
  <si>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</si>
  <si>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</si>
  <si>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</si>
  <si>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</si>
  <si>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</si>
  <si>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</si>
  <si>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</si>
  <si>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</si>
  <si>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</si>
  <si>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</si>
  <si>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</si>
  <si>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</si>
  <si>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</si>
  <si>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</si>
  <si>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</si>
  <si>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</si>
  <si>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</si>
  <si>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</si>
  <si>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</si>
  <si>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</si>
  <si>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</si>
  <si>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</si>
  <si>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</si>
  <si>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</si>
  <si>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</si>
  <si>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</si>
  <si>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</si>
  <si>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</si>
  <si>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</si>
  <si>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</si>
  <si>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</si>
  <si>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</si>
  <si>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</si>
  <si>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</si>
  <si>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</si>
  <si>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</si>
  <si>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</si>
  <si>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</si>
  <si>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</si>
  <si>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</si>
  <si>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</si>
  <si>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</si>
  <si>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</si>
  <si>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</si>
  <si>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</si>
  <si>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</si>
  <si>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</si>
  <si>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</si>
  <si>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</si>
  <si>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</si>
  <si>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</si>
  <si>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</si>
  <si>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</si>
  <si>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</si>
  <si>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</si>
  <si>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</si>
  <si>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</si>
  <si>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</si>
  <si>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</si>
  <si>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</si>
  <si>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</si>
  <si>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</si>
  <si>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</si>
  <si>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</si>
  <si>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</si>
  <si>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</si>
  <si>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</si>
  <si>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</si>
  <si>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</si>
  <si>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</si>
  <si>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</si>
  <si>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</si>
  <si>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</si>
  <si>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</si>
  <si>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</si>
  <si>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</si>
  <si>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</si>
  <si>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</si>
  <si>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</si>
  <si>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</si>
  <si>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</si>
  <si>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</si>
  <si>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</si>
  <si>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</si>
  <si>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</si>
  <si>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</si>
  <si>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</si>
  <si>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</si>
  <si>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</si>
  <si>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</si>
  <si>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</si>
  <si>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</si>
  <si>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</si>
  <si>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</si>
  <si>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</si>
  <si>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</si>
  <si>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</si>
  <si>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</si>
  <si>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</si>
  <si>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</si>
  <si>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</si>
  <si>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</si>
  <si>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</si>
  <si>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</si>
  <si>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</si>
  <si>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</si>
  <si>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</si>
  <si>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</si>
  <si>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</si>
  <si>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</si>
  <si>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</si>
  <si>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</si>
  <si>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</si>
  <si>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</si>
  <si>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</si>
  <si>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</si>
  <si>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</si>
  <si>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</si>
  <si>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</si>
  <si>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</si>
  <si>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</si>
  <si>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</si>
  <si>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</si>
  <si>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</si>
  <si>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</si>
  <si>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</si>
  <si>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</si>
  <si>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</si>
  <si>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</si>
  <si>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</si>
  <si>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</si>
  <si>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</si>
  <si>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</si>
  <si>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</si>
  <si>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</si>
  <si>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</si>
  <si>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</si>
  <si>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</si>
  <si>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</si>
  <si>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</si>
  <si>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</si>
  <si>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</si>
  <si>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</si>
  <si>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</si>
  <si>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</si>
  <si>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</si>
  <si>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</si>
  <si>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</si>
  <si>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</si>
  <si>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</si>
  <si>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</si>
  <si>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</si>
  <si>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</si>
  <si>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</si>
  <si>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</si>
  <si>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</si>
  <si>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</si>
  <si>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</si>
  <si>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</si>
  <si>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</si>
  <si>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</si>
  <si>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</si>
  <si>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</si>
  <si>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</si>
  <si>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</si>
  <si>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</si>
  <si>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</si>
  <si>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</si>
  <si>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</si>
  <si>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</si>
  <si>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</si>
  <si>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</si>
  <si>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</si>
  <si>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</si>
  <si>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</si>
  <si>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</si>
  <si>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</si>
  <si>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</si>
  <si>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</si>
  <si>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</si>
  <si>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</si>
  <si>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</si>
  <si>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</si>
  <si>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</si>
  <si>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</si>
  <si>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</si>
  <si>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</si>
  <si>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</si>
  <si>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</si>
  <si>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</si>
  <si>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</si>
  <si>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</si>
  <si>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</si>
  <si>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</si>
  <si>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</si>
  <si>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</si>
  <si>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</si>
  <si>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</si>
  <si>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</si>
  <si>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</si>
  <si>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</si>
  <si>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</si>
  <si>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</si>
  <si>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</si>
  <si>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</si>
  <si>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</si>
  <si>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</si>
  <si>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</si>
  <si>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</si>
  <si>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</si>
  <si>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</si>
  <si>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</si>
  <si>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</si>
  <si>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</si>
  <si>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</si>
  <si>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</si>
  <si>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</si>
  <si>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</si>
  <si>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</si>
  <si>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</si>
  <si>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</si>
  <si>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</si>
  <si>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</si>
  <si>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</si>
  <si>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</si>
  <si>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</si>
  <si>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</si>
  <si>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</si>
  <si>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</si>
  <si>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</si>
  <si>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</si>
  <si>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</si>
  <si>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</si>
  <si>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</si>
  <si>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</si>
  <si>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</si>
  <si>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</si>
  <si>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</si>
  <si>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</si>
  <si>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</si>
  <si>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</si>
  <si>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</si>
  <si>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</si>
  <si>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</si>
  <si>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</si>
  <si>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</si>
  <si>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</si>
  <si>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</si>
  <si>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</si>
  <si>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</si>
  <si>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</si>
  <si>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</si>
  <si>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</si>
  <si>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</si>
  <si>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</si>
  <si>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</si>
  <si>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</si>
  <si>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</si>
  <si>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</si>
  <si>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</si>
  <si>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</si>
  <si>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</si>
  <si>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</si>
  <si>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</si>
  <si>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</si>
  <si>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</si>
  <si>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</si>
  <si>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</si>
  <si>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</si>
  <si>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</si>
  <si>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</si>
  <si>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</si>
  <si>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</si>
  <si>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</si>
  <si>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</si>
  <si>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</si>
  <si>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</si>
  <si>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</si>
  <si>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</si>
  <si>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</si>
  <si>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</si>
  <si>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</si>
  <si>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</si>
  <si>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</si>
  <si>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</si>
  <si>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</si>
  <si>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</si>
  <si>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</si>
  <si>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</si>
  <si>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</si>
  <si>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</si>
  <si>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</si>
  <si>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</si>
  <si>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</si>
  <si>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</si>
  <si>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</si>
  <si>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</si>
  <si>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</si>
  <si>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</si>
  <si>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</si>
  <si>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</si>
  <si>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</si>
  <si>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</si>
  <si>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</si>
  <si>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</si>
  <si>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</si>
  <si>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</si>
  <si>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</si>
  <si>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</si>
  <si>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</si>
  <si>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</si>
  <si>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</si>
  <si>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</si>
  <si>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</si>
  <si>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</si>
  <si>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</si>
  <si>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</si>
  <si>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</si>
  <si>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</si>
  <si>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</si>
  <si>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</si>
  <si>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</si>
  <si>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</si>
  <si>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</si>
  <si>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</si>
  <si>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</si>
  <si>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</si>
  <si>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</si>
  <si>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</si>
  <si>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</si>
  <si>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</si>
  <si>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</si>
  <si>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</si>
  <si>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</si>
  <si>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08/02</t>
  </si>
  <si>
    <t>06/10</t>
  </si>
  <si>
    <t>08/22</t>
  </si>
  <si>
    <t>03/27</t>
  </si>
  <si>
    <t>before Fed reimbursement</t>
  </si>
  <si>
    <t>LITTLETON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</si>
</sst>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5" zoomScaleNormal="115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G670" sqref="G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5" t="s">
        <v>917</v>
      </c>
      <c r="B2" s="21">
        <v>317</v>
      </c>
      <c r="C2" s="21">
        <v>317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280</v>
      </c>
      <c r="G6" s="224" t="s">
        <v>281</v>
      </c>
      <c r="H6" s="224" t="s">
        <v>282</v>
      </c>
      <c r="I6" s="224" t="s">
        <v>283</v>
      </c>
      <c r="J6" s="224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4"/>
      <c r="G7" s="225"/>
      <c r="H7" s="224" t="s">
        <v>771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63800.43</v>
      </c>
      <c r="G9" s="18">
        <v>0</v>
      </c>
      <c r="H9" s="18">
        <v>0</v>
      </c>
      <c r="I9" s="18">
        <v>0</v>
      </c>
      <c r="J9" s="67">
        <f>SUM(I439)</f>
        <v>772960.38000000012</v>
      </c>
      <c r="K9" s="24" t="s">
        <v>288</v>
      </c>
      <c r="L9" s="24" t="s">
        <v>288</v>
      </c>
      <c r="M9" s="8"/>
      <c r="N9" s="271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264658.7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288</v>
      </c>
      <c r="L10" s="24" t="s">
        <v>288</v>
      </c>
      <c r="M10" s="8"/>
      <c r="N10" s="271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222949.30000000002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1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144855.10999999999</v>
      </c>
      <c r="G13" s="18">
        <v>10181.34</v>
      </c>
      <c r="H13" s="18">
        <v>21243.040000000001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1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-2431.35</v>
      </c>
      <c r="G14" s="18">
        <v>14820.43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4151.99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693832.19000000006</v>
      </c>
      <c r="G19" s="41">
        <f>SUM(G9:G18)</f>
        <v>29153.760000000002</v>
      </c>
      <c r="H19" s="41">
        <f>SUM(H9:H18)</f>
        <v>21243.040000000001</v>
      </c>
      <c r="I19" s="41">
        <f>SUM(I9:I18)</f>
        <v>0</v>
      </c>
      <c r="J19" s="41">
        <f>SUM(J9:J18)</f>
        <v>772960.38000000012</v>
      </c>
      <c r="K19" s="45" t="s">
        <v>288</v>
      </c>
      <c r="L19" s="45" t="s">
        <v>288</v>
      </c>
      <c r="M19" s="8"/>
      <c r="N19" s="271"/>
    </row>
    <row r="20" spans="1:14" s="3" customFormat="1" ht="12" customHeight="1" x14ac:dyDescent="0.15">
      <c r="A20" s="1" t="s">
        <v>454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788.51</v>
      </c>
      <c r="H22" s="18">
        <v>19068.090000000026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1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85862.8</v>
      </c>
      <c r="G24" s="18">
        <v>24213.26</v>
      </c>
      <c r="H24" s="18">
        <v>1906.84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>
        <v>0</v>
      </c>
      <c r="H28" s="18">
        <v>268.11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66477.89999999998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62038.76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214379.46</v>
      </c>
      <c r="G32" s="41">
        <f>SUM(G22:G31)</f>
        <v>25001.769999999997</v>
      </c>
      <c r="H32" s="41">
        <f>SUM(H22:H31)</f>
        <v>21243.040000000026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1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4151.99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1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v>0</v>
      </c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80000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10074.629999999999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772960.38000000012</v>
      </c>
      <c r="K48" s="24" t="s">
        <v>288</v>
      </c>
      <c r="L48" s="24" t="s">
        <v>288</v>
      </c>
      <c r="M48" s="8"/>
      <c r="N48" s="271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389378.10000000009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479452.7300000001</v>
      </c>
      <c r="G51" s="41">
        <f>SUM(G35:G50)</f>
        <v>4151.99</v>
      </c>
      <c r="H51" s="41">
        <f>SUM(H35:H50)</f>
        <v>0</v>
      </c>
      <c r="I51" s="41">
        <f>SUM(I35:I50)</f>
        <v>0</v>
      </c>
      <c r="J51" s="41">
        <f>SUM(J35:J50)</f>
        <v>772960.38000000012</v>
      </c>
      <c r="K51" s="45" t="s">
        <v>288</v>
      </c>
      <c r="L51" s="45" t="s">
        <v>288</v>
      </c>
      <c r="N51" s="269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693832.19000000006</v>
      </c>
      <c r="G52" s="41">
        <f>G51+G32</f>
        <v>29153.759999999995</v>
      </c>
      <c r="H52" s="41">
        <f>H51+H32</f>
        <v>21243.040000000026</v>
      </c>
      <c r="I52" s="41">
        <f>I51+I32</f>
        <v>0</v>
      </c>
      <c r="J52" s="41">
        <f>J51+J32</f>
        <v>772960.38000000012</v>
      </c>
      <c r="K52" s="45" t="s">
        <v>288</v>
      </c>
      <c r="L52" s="45" t="s">
        <v>288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9608927</v>
      </c>
      <c r="G57" s="18">
        <v>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1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288</v>
      </c>
      <c r="L59" s="24" t="s">
        <v>288</v>
      </c>
      <c r="M59" s="31"/>
      <c r="N59" s="272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9608927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21125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75000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156508.93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10654.19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263288.12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" customHeight="1" x14ac:dyDescent="0.2">
      <c r="A81" s="169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6393.05</v>
      </c>
      <c r="G96" s="18">
        <v>0</v>
      </c>
      <c r="H96" s="18">
        <v>0</v>
      </c>
      <c r="I96" s="18">
        <v>0</v>
      </c>
      <c r="J96" s="18">
        <v>4003.28</v>
      </c>
      <c r="K96" s="24" t="s">
        <v>288</v>
      </c>
      <c r="L96" s="24" t="s">
        <v>288</v>
      </c>
      <c r="M96" s="8"/>
      <c r="N96" s="271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98713.39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1586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1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78383.92</v>
      </c>
      <c r="G110" s="18">
        <v>67978.34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1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86362.97</v>
      </c>
      <c r="G111" s="41">
        <f>SUM(G96:G110)</f>
        <v>166691.72999999998</v>
      </c>
      <c r="H111" s="41">
        <f>SUM(H96:H110)</f>
        <v>0</v>
      </c>
      <c r="I111" s="41">
        <f>SUM(I96:I110)</f>
        <v>0</v>
      </c>
      <c r="J111" s="41">
        <f>SUM(J96:J110)</f>
        <v>4003.28</v>
      </c>
      <c r="K111" s="45" t="s">
        <v>288</v>
      </c>
      <c r="L111" s="45" t="s">
        <v>288</v>
      </c>
      <c r="N111" s="269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9958578.0899999999</v>
      </c>
      <c r="G112" s="41">
        <f>G60+G111</f>
        <v>166691.72999999998</v>
      </c>
      <c r="H112" s="41">
        <f>H60+H79+H94+H111</f>
        <v>0</v>
      </c>
      <c r="I112" s="41">
        <f>I60+I111</f>
        <v>0</v>
      </c>
      <c r="J112" s="41">
        <f>J60+J111</f>
        <v>4003.28</v>
      </c>
      <c r="K112" s="45" t="s">
        <v>288</v>
      </c>
      <c r="L112" s="45" t="s">
        <v>288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3475602.31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1198046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1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4673648.3100000005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208806.94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0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247345.47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42883.79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10325.67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1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499036.2</v>
      </c>
      <c r="G136" s="41">
        <f>SUM(G123:G135)</f>
        <v>10325.67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5172684.5100000007</v>
      </c>
      <c r="G140" s="41">
        <f>G121+SUM(G136:G137)</f>
        <v>10325.67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3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137070.93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137070.93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336053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108790.76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42690.889999999992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202771.91000000003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165783.21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43281.17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581.68000000000006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43281.17</v>
      </c>
      <c r="G162" s="41">
        <f>SUM(G150:G161)</f>
        <v>202771.91000000003</v>
      </c>
      <c r="H162" s="41">
        <f>SUM(H150:H161)</f>
        <v>653899.54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1477.39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181829.49</v>
      </c>
      <c r="G169" s="41">
        <f>G147+G162+SUM(G163:G168)</f>
        <v>202771.91000000003</v>
      </c>
      <c r="H169" s="41">
        <f>H147+H162+SUM(H163:H168)</f>
        <v>653899.54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3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63017.04</v>
      </c>
      <c r="H179" s="18">
        <v>0</v>
      </c>
      <c r="I179" s="18">
        <v>0</v>
      </c>
      <c r="J179" s="18">
        <v>97149.57</v>
      </c>
      <c r="K179" s="24" t="s">
        <v>288</v>
      </c>
      <c r="L179" s="24" t="s">
        <v>288</v>
      </c>
      <c r="M179" s="8"/>
      <c r="N179" s="271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1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1111.45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1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1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1111.45</v>
      </c>
      <c r="G183" s="41">
        <f>SUM(G179:G182)</f>
        <v>63017.04</v>
      </c>
      <c r="H183" s="41">
        <f>SUM(H179:H182)</f>
        <v>0</v>
      </c>
      <c r="I183" s="41">
        <f>SUM(I179:I182)</f>
        <v>0</v>
      </c>
      <c r="J183" s="41">
        <f>SUM(J179:J182)</f>
        <v>97149.57</v>
      </c>
      <c r="K183" s="45" t="s">
        <v>288</v>
      </c>
      <c r="L183" s="45" t="s">
        <v>288</v>
      </c>
      <c r="M183" s="8"/>
      <c r="N183" s="271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124675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69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124675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5" t="s">
        <v>430</v>
      </c>
      <c r="E192" s="51">
        <v>5000</v>
      </c>
      <c r="F192" s="41">
        <f>F177+F183+SUM(F188:F191)</f>
        <v>125786.45</v>
      </c>
      <c r="G192" s="41">
        <f>G183+SUM(G188:G191)</f>
        <v>63017.04</v>
      </c>
      <c r="H192" s="41">
        <f>+H183+SUM(H188:H191)</f>
        <v>0</v>
      </c>
      <c r="I192" s="41">
        <f>I177+I183+SUM(I188:I191)</f>
        <v>0</v>
      </c>
      <c r="J192" s="41">
        <f>J183</f>
        <v>97149.57</v>
      </c>
      <c r="K192" s="45" t="s">
        <v>288</v>
      </c>
      <c r="L192" s="45" t="s">
        <v>288</v>
      </c>
      <c r="M192" s="8"/>
      <c r="N192" s="271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6" t="s">
        <v>430</v>
      </c>
      <c r="E193" s="44"/>
      <c r="F193" s="47">
        <f>F112+F140+F169+F192</f>
        <v>15438878.540000001</v>
      </c>
      <c r="G193" s="47">
        <f>G112+G140+G169+G192</f>
        <v>442806.35000000003</v>
      </c>
      <c r="H193" s="47">
        <f>H112+H140+H169+H192</f>
        <v>653899.54</v>
      </c>
      <c r="I193" s="47">
        <f>I112+I140+I169+I192</f>
        <v>0</v>
      </c>
      <c r="J193" s="47">
        <f>J112+J140+J192</f>
        <v>101152.85</v>
      </c>
      <c r="K193" s="45" t="s">
        <v>288</v>
      </c>
      <c r="L193" s="45" t="s">
        <v>288</v>
      </c>
      <c r="M193" s="8"/>
      <c r="N193" s="271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6" t="s">
        <v>692</v>
      </c>
      <c r="G194" s="176" t="s">
        <v>693</v>
      </c>
      <c r="H194" s="176" t="s">
        <v>694</v>
      </c>
      <c r="I194" s="176" t="s">
        <v>695</v>
      </c>
      <c r="J194" s="176" t="s">
        <v>696</v>
      </c>
      <c r="K194" s="176" t="s">
        <v>697</v>
      </c>
      <c r="L194" s="56"/>
      <c r="M194" s="8"/>
      <c r="N194" s="271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1868063.3</v>
      </c>
      <c r="G197" s="18">
        <v>1020931.63</v>
      </c>
      <c r="H197" s="18">
        <v>10033.6</v>
      </c>
      <c r="I197" s="18">
        <v>71190.149999999994</v>
      </c>
      <c r="J197" s="18">
        <v>13323.19</v>
      </c>
      <c r="K197" s="18">
        <v>0</v>
      </c>
      <c r="L197" s="19">
        <f>SUM(F197:K197)</f>
        <v>2983541.87</v>
      </c>
      <c r="M197" s="8"/>
      <c r="N197" s="271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807765.27</v>
      </c>
      <c r="G198" s="18">
        <v>536590.56000000006</v>
      </c>
      <c r="H198" s="18">
        <v>72258.53</v>
      </c>
      <c r="I198" s="18">
        <v>7099.68</v>
      </c>
      <c r="J198" s="18">
        <v>450.89</v>
      </c>
      <c r="K198" s="18">
        <v>1437.35</v>
      </c>
      <c r="L198" s="19">
        <f>SUM(F198:K198)</f>
        <v>1425602.28</v>
      </c>
      <c r="M198" s="8"/>
      <c r="N198" s="271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1469</v>
      </c>
      <c r="G200" s="18">
        <v>485.29</v>
      </c>
      <c r="H200" s="18">
        <v>0</v>
      </c>
      <c r="I200" s="18">
        <v>0</v>
      </c>
      <c r="J200" s="18">
        <v>0</v>
      </c>
      <c r="K200" s="18">
        <v>3000</v>
      </c>
      <c r="L200" s="19">
        <f>SUM(F200:K200)</f>
        <v>4954.29</v>
      </c>
      <c r="M200" s="8"/>
      <c r="N200" s="271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379142.35</v>
      </c>
      <c r="G202" s="18">
        <v>172386.41</v>
      </c>
      <c r="H202" s="18">
        <v>31970</v>
      </c>
      <c r="I202" s="18">
        <v>6724.49</v>
      </c>
      <c r="J202" s="18">
        <v>3986.35</v>
      </c>
      <c r="K202" s="18">
        <v>2499.0300000000002</v>
      </c>
      <c r="L202" s="19">
        <f t="shared" ref="L202:L208" si="0">SUM(F202:K202)</f>
        <v>596708.63</v>
      </c>
      <c r="M202" s="8"/>
      <c r="N202" s="271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141292.66</v>
      </c>
      <c r="G203" s="18">
        <v>77062.850000000006</v>
      </c>
      <c r="H203" s="18">
        <v>3917.5</v>
      </c>
      <c r="I203" s="18">
        <v>0</v>
      </c>
      <c r="J203" s="18">
        <v>0</v>
      </c>
      <c r="K203" s="18">
        <v>10761.25</v>
      </c>
      <c r="L203" s="19">
        <f t="shared" si="0"/>
        <v>233034.26</v>
      </c>
      <c r="M203" s="8"/>
      <c r="N203" s="271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154615.88</v>
      </c>
      <c r="G204" s="18">
        <v>65361.61</v>
      </c>
      <c r="H204" s="18">
        <v>73415.37</v>
      </c>
      <c r="I204" s="18">
        <v>4178.5600000000004</v>
      </c>
      <c r="J204" s="18">
        <v>324.99</v>
      </c>
      <c r="K204" s="18">
        <v>10463.120000000001</v>
      </c>
      <c r="L204" s="19">
        <f t="shared" si="0"/>
        <v>308359.52999999997</v>
      </c>
      <c r="M204" s="8"/>
      <c r="N204" s="271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263763.98</v>
      </c>
      <c r="G205" s="18">
        <v>141705.28</v>
      </c>
      <c r="H205" s="18">
        <v>6599.55</v>
      </c>
      <c r="I205" s="18">
        <v>20712.34</v>
      </c>
      <c r="J205" s="18">
        <v>3597.81</v>
      </c>
      <c r="K205" s="18">
        <v>7121.6</v>
      </c>
      <c r="L205" s="19">
        <f t="shared" si="0"/>
        <v>443500.56</v>
      </c>
      <c r="M205" s="8"/>
      <c r="N205" s="271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59881.56</v>
      </c>
      <c r="G206" s="18">
        <v>19928.59</v>
      </c>
      <c r="H206" s="18">
        <v>3098.92</v>
      </c>
      <c r="I206" s="18">
        <v>783.42</v>
      </c>
      <c r="J206" s="18">
        <v>2287.42</v>
      </c>
      <c r="K206" s="18">
        <v>531.25</v>
      </c>
      <c r="L206" s="19">
        <f t="shared" si="0"/>
        <v>86511.159999999989</v>
      </c>
      <c r="M206" s="8"/>
      <c r="N206" s="271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163015.18</v>
      </c>
      <c r="G207" s="18">
        <v>133779.07999999999</v>
      </c>
      <c r="H207" s="18">
        <v>207176</v>
      </c>
      <c r="I207" s="18">
        <v>140157.14000000001</v>
      </c>
      <c r="J207" s="18">
        <v>67042.47</v>
      </c>
      <c r="K207" s="18">
        <v>582.11</v>
      </c>
      <c r="L207" s="19">
        <f t="shared" si="0"/>
        <v>711751.98</v>
      </c>
      <c r="M207" s="8"/>
      <c r="N207" s="271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23000.82</v>
      </c>
      <c r="G208" s="18">
        <v>14241.51</v>
      </c>
      <c r="H208" s="18">
        <v>134525.64000000001</v>
      </c>
      <c r="I208" s="18">
        <v>3867.82</v>
      </c>
      <c r="J208" s="18">
        <v>0</v>
      </c>
      <c r="K208" s="18">
        <v>0</v>
      </c>
      <c r="L208" s="19">
        <f t="shared" si="0"/>
        <v>175635.79000000004</v>
      </c>
      <c r="M208" s="8"/>
      <c r="N208" s="271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59399.51</v>
      </c>
      <c r="G209" s="18">
        <v>18866.47</v>
      </c>
      <c r="H209" s="18">
        <v>91088.05</v>
      </c>
      <c r="I209" s="18">
        <v>10448.68</v>
      </c>
      <c r="J209" s="18">
        <v>37869.85</v>
      </c>
      <c r="K209" s="18">
        <v>188.27</v>
      </c>
      <c r="L209" s="19">
        <f>SUM(F209:K209)</f>
        <v>217860.83000000002</v>
      </c>
      <c r="M209" s="8"/>
      <c r="N209" s="271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3921409.5100000002</v>
      </c>
      <c r="G211" s="41">
        <f t="shared" si="1"/>
        <v>2201339.2800000003</v>
      </c>
      <c r="H211" s="41">
        <f t="shared" si="1"/>
        <v>634083.16</v>
      </c>
      <c r="I211" s="41">
        <f t="shared" si="1"/>
        <v>265162.28000000003</v>
      </c>
      <c r="J211" s="41">
        <f t="shared" si="1"/>
        <v>128882.97</v>
      </c>
      <c r="K211" s="41">
        <f t="shared" si="1"/>
        <v>36583.979999999996</v>
      </c>
      <c r="L211" s="41">
        <f t="shared" si="1"/>
        <v>7187461.1800000006</v>
      </c>
      <c r="M211" s="8"/>
      <c r="N211" s="271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6" t="s">
        <v>692</v>
      </c>
      <c r="G212" s="176" t="s">
        <v>693</v>
      </c>
      <c r="H212" s="176" t="s">
        <v>694</v>
      </c>
      <c r="I212" s="176" t="s">
        <v>695</v>
      </c>
      <c r="J212" s="176" t="s">
        <v>696</v>
      </c>
      <c r="K212" s="176" t="s">
        <v>697</v>
      </c>
      <c r="L212" s="67"/>
      <c r="M212" s="8"/>
      <c r="N212" s="271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504429.35</v>
      </c>
      <c r="G215" s="18">
        <v>281013.3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785442.64999999991</v>
      </c>
      <c r="M215" s="8"/>
      <c r="N215" s="271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246165.13</v>
      </c>
      <c r="G216" s="18">
        <v>106546.82</v>
      </c>
      <c r="H216" s="18">
        <v>2452.2800000000002</v>
      </c>
      <c r="I216" s="18">
        <v>3220.87</v>
      </c>
      <c r="J216" s="18">
        <v>102.32</v>
      </c>
      <c r="K216" s="18">
        <v>973.15</v>
      </c>
      <c r="L216" s="19">
        <f>SUM(F216:K216)</f>
        <v>359460.57000000007</v>
      </c>
      <c r="M216" s="8"/>
      <c r="N216" s="271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18291</v>
      </c>
      <c r="G217" s="18">
        <v>11329.39</v>
      </c>
      <c r="H217" s="18">
        <v>0</v>
      </c>
      <c r="I217" s="18">
        <v>861.78</v>
      </c>
      <c r="J217" s="18">
        <v>0</v>
      </c>
      <c r="K217" s="18">
        <v>0</v>
      </c>
      <c r="L217" s="19">
        <f>SUM(F217:K217)</f>
        <v>30482.17</v>
      </c>
      <c r="M217" s="8"/>
      <c r="N217" s="271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20822.2</v>
      </c>
      <c r="G218" s="18">
        <v>3106.77</v>
      </c>
      <c r="H218" s="18">
        <v>0</v>
      </c>
      <c r="I218" s="18">
        <v>0</v>
      </c>
      <c r="J218" s="18">
        <v>0</v>
      </c>
      <c r="K218" s="18">
        <v>1790</v>
      </c>
      <c r="L218" s="19">
        <f>SUM(F218:K218)</f>
        <v>25718.97</v>
      </c>
      <c r="M218" s="8"/>
      <c r="N218" s="271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70299.289999999994</v>
      </c>
      <c r="G220" s="18">
        <v>37425.19</v>
      </c>
      <c r="H220" s="18">
        <v>11512.5</v>
      </c>
      <c r="I220" s="18">
        <v>0</v>
      </c>
      <c r="J220" s="18">
        <v>0</v>
      </c>
      <c r="K220" s="18">
        <v>194.77</v>
      </c>
      <c r="L220" s="19">
        <f t="shared" ref="L220:L226" si="2">SUM(F220:K220)</f>
        <v>119431.75</v>
      </c>
      <c r="M220" s="8"/>
      <c r="N220" s="271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26547.97</v>
      </c>
      <c r="G221" s="18">
        <v>14933.6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41481.57</v>
      </c>
      <c r="M221" s="8"/>
      <c r="N221" s="271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61846.35</v>
      </c>
      <c r="G222" s="18">
        <v>26144.65</v>
      </c>
      <c r="H222" s="18">
        <v>29366.14</v>
      </c>
      <c r="I222" s="18">
        <v>1671.42</v>
      </c>
      <c r="J222" s="18">
        <v>130</v>
      </c>
      <c r="K222" s="18">
        <v>4185.25</v>
      </c>
      <c r="L222" s="19">
        <f t="shared" si="2"/>
        <v>123343.81</v>
      </c>
      <c r="M222" s="8"/>
      <c r="N222" s="271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63150.45</v>
      </c>
      <c r="G223" s="18">
        <v>22370.37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85520.819999999992</v>
      </c>
      <c r="M223" s="8"/>
      <c r="N223" s="271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23952.62</v>
      </c>
      <c r="G224" s="18">
        <v>7971.44</v>
      </c>
      <c r="H224" s="18">
        <v>1239.57</v>
      </c>
      <c r="I224" s="18">
        <v>313.37</v>
      </c>
      <c r="J224" s="18">
        <v>914.97</v>
      </c>
      <c r="K224" s="18">
        <v>212.5</v>
      </c>
      <c r="L224" s="19">
        <f t="shared" si="2"/>
        <v>34604.47</v>
      </c>
      <c r="M224" s="8"/>
      <c r="N224" s="271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9712.35</v>
      </c>
      <c r="G225" s="18">
        <v>5630.4</v>
      </c>
      <c r="H225" s="18">
        <v>3932.9</v>
      </c>
      <c r="I225" s="18">
        <v>4556.6499999999996</v>
      </c>
      <c r="J225" s="18">
        <v>517.5</v>
      </c>
      <c r="K225" s="18">
        <v>0</v>
      </c>
      <c r="L225" s="19">
        <f t="shared" si="2"/>
        <v>24349.800000000003</v>
      </c>
      <c r="M225" s="8"/>
      <c r="N225" s="271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45200.24</v>
      </c>
      <c r="I226" s="18">
        <v>0</v>
      </c>
      <c r="J226" s="18">
        <v>0</v>
      </c>
      <c r="K226" s="18">
        <v>0</v>
      </c>
      <c r="L226" s="19">
        <f t="shared" si="2"/>
        <v>45200.24</v>
      </c>
      <c r="M226" s="8"/>
      <c r="N226" s="271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23759.81</v>
      </c>
      <c r="G227" s="18">
        <v>7546.58</v>
      </c>
      <c r="H227" s="18">
        <v>36435.22</v>
      </c>
      <c r="I227" s="18">
        <v>4179.47</v>
      </c>
      <c r="J227" s="18">
        <v>15147.94</v>
      </c>
      <c r="K227" s="18">
        <v>75.31</v>
      </c>
      <c r="L227" s="19">
        <f>SUM(F227:K227)</f>
        <v>87144.33</v>
      </c>
      <c r="M227" s="8"/>
      <c r="N227" s="271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1068976.5199999998</v>
      </c>
      <c r="G229" s="41">
        <f>SUM(G215:G228)</f>
        <v>524018.51000000007</v>
      </c>
      <c r="H229" s="41">
        <f>SUM(H215:H228)</f>
        <v>130138.85</v>
      </c>
      <c r="I229" s="41">
        <f>SUM(I215:I228)</f>
        <v>14803.560000000001</v>
      </c>
      <c r="J229" s="41">
        <f>SUM(J215:J228)</f>
        <v>16812.73</v>
      </c>
      <c r="K229" s="41">
        <f t="shared" si="3"/>
        <v>7430.9800000000005</v>
      </c>
      <c r="L229" s="41">
        <f t="shared" si="3"/>
        <v>1762181.1500000001</v>
      </c>
      <c r="M229" s="8"/>
      <c r="N229" s="271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6" t="s">
        <v>692</v>
      </c>
      <c r="G230" s="176" t="s">
        <v>693</v>
      </c>
      <c r="H230" s="176" t="s">
        <v>694</v>
      </c>
      <c r="I230" s="176" t="s">
        <v>695</v>
      </c>
      <c r="J230" s="176" t="s">
        <v>696</v>
      </c>
      <c r="K230" s="176" t="s">
        <v>697</v>
      </c>
      <c r="L230" s="67"/>
      <c r="M230" s="8"/>
      <c r="N230" s="271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968819.42</v>
      </c>
      <c r="G233" s="18">
        <v>491514.63</v>
      </c>
      <c r="H233" s="18">
        <v>38295.300000000003</v>
      </c>
      <c r="I233" s="18">
        <v>47554.73</v>
      </c>
      <c r="J233" s="18">
        <v>16448.52</v>
      </c>
      <c r="K233" s="18">
        <v>0</v>
      </c>
      <c r="L233" s="19">
        <f>SUM(F233:K233)</f>
        <v>1562632.6</v>
      </c>
      <c r="M233" s="8"/>
      <c r="N233" s="271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386860.84</v>
      </c>
      <c r="G234" s="18">
        <v>161056.10999999999</v>
      </c>
      <c r="H234" s="18">
        <v>132156.09</v>
      </c>
      <c r="I234" s="18">
        <v>4636.51</v>
      </c>
      <c r="J234" s="18">
        <v>0</v>
      </c>
      <c r="K234" s="18">
        <v>2104.08</v>
      </c>
      <c r="L234" s="19">
        <f>SUM(F234:K234)</f>
        <v>686813.62999999989</v>
      </c>
      <c r="M234" s="8"/>
      <c r="N234" s="271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773470.29</v>
      </c>
      <c r="G235" s="18">
        <v>365994.94</v>
      </c>
      <c r="H235" s="18">
        <v>27419.21</v>
      </c>
      <c r="I235" s="18">
        <v>25585.93</v>
      </c>
      <c r="J235" s="18">
        <v>12517.4</v>
      </c>
      <c r="K235" s="18">
        <v>3129.14</v>
      </c>
      <c r="L235" s="19">
        <f>SUM(F235:K235)</f>
        <v>1208116.9099999997</v>
      </c>
      <c r="M235" s="8"/>
      <c r="N235" s="271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109343.57</v>
      </c>
      <c r="G236" s="18">
        <v>21288.53</v>
      </c>
      <c r="H236" s="18">
        <v>30516.75</v>
      </c>
      <c r="I236" s="18">
        <v>8460.43</v>
      </c>
      <c r="J236" s="18">
        <v>15623.44</v>
      </c>
      <c r="K236" s="18">
        <v>17187.37</v>
      </c>
      <c r="L236" s="19">
        <f>SUM(F236:K236)</f>
        <v>202420.09</v>
      </c>
      <c r="M236" s="8"/>
      <c r="N236" s="271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249484.97</v>
      </c>
      <c r="G238" s="18">
        <v>138472.85</v>
      </c>
      <c r="H238" s="18">
        <v>21667.68</v>
      </c>
      <c r="I238" s="18">
        <v>3801.35</v>
      </c>
      <c r="J238" s="18">
        <v>798.71</v>
      </c>
      <c r="K238" s="18">
        <v>3450.99</v>
      </c>
      <c r="L238" s="19">
        <f t="shared" ref="L238:L244" si="4">SUM(F238:K238)</f>
        <v>417676.55</v>
      </c>
      <c r="M238" s="8"/>
      <c r="N238" s="271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47806.65</v>
      </c>
      <c r="G239" s="18">
        <v>26295.5</v>
      </c>
      <c r="H239" s="18">
        <v>792.5</v>
      </c>
      <c r="I239" s="18">
        <v>3990.26</v>
      </c>
      <c r="J239" s="18">
        <v>398.43</v>
      </c>
      <c r="K239" s="18">
        <v>10978.71</v>
      </c>
      <c r="L239" s="19">
        <f t="shared" si="4"/>
        <v>90262.049999999988</v>
      </c>
      <c r="M239" s="8"/>
      <c r="N239" s="271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92769.53</v>
      </c>
      <c r="G240" s="18">
        <v>39216.97</v>
      </c>
      <c r="H240" s="18">
        <v>44049.27</v>
      </c>
      <c r="I240" s="18">
        <v>2507.14</v>
      </c>
      <c r="J240" s="18">
        <v>195</v>
      </c>
      <c r="K240" s="18">
        <v>6277.87</v>
      </c>
      <c r="L240" s="19">
        <f t="shared" si="4"/>
        <v>185015.78</v>
      </c>
      <c r="M240" s="8"/>
      <c r="N240" s="271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172859.72</v>
      </c>
      <c r="G241" s="18">
        <v>72896.02</v>
      </c>
      <c r="H241" s="18">
        <v>11681.98</v>
      </c>
      <c r="I241" s="18">
        <v>14656.62</v>
      </c>
      <c r="J241" s="18">
        <v>2861.75</v>
      </c>
      <c r="K241" s="18">
        <v>18556.82</v>
      </c>
      <c r="L241" s="19">
        <f t="shared" si="4"/>
        <v>293512.91000000003</v>
      </c>
      <c r="M241" s="8"/>
      <c r="N241" s="271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35928.93</v>
      </c>
      <c r="G242" s="18">
        <v>11957.16</v>
      </c>
      <c r="H242" s="18">
        <v>1859.36</v>
      </c>
      <c r="I242" s="18">
        <v>470.05</v>
      </c>
      <c r="J242" s="18">
        <v>1372.46</v>
      </c>
      <c r="K242" s="18">
        <v>318.75</v>
      </c>
      <c r="L242" s="19">
        <f t="shared" si="4"/>
        <v>51906.71</v>
      </c>
      <c r="M242" s="8"/>
      <c r="N242" s="271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222516.18</v>
      </c>
      <c r="G243" s="18">
        <v>98445.75</v>
      </c>
      <c r="H243" s="18">
        <v>182865.4</v>
      </c>
      <c r="I243" s="18">
        <v>247518.57</v>
      </c>
      <c r="J243" s="18">
        <v>23019.16</v>
      </c>
      <c r="K243" s="18">
        <v>1669.53</v>
      </c>
      <c r="L243" s="19">
        <f t="shared" si="4"/>
        <v>776034.59</v>
      </c>
      <c r="M243" s="8"/>
      <c r="N243" s="271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170585.57</v>
      </c>
      <c r="I244" s="18">
        <v>0</v>
      </c>
      <c r="J244" s="18">
        <v>0</v>
      </c>
      <c r="K244" s="18">
        <v>0</v>
      </c>
      <c r="L244" s="19">
        <f t="shared" si="4"/>
        <v>170585.57</v>
      </c>
      <c r="M244" s="8"/>
      <c r="N244" s="271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35639.71</v>
      </c>
      <c r="G245" s="18">
        <v>11319.88</v>
      </c>
      <c r="H245" s="18">
        <v>54652.83</v>
      </c>
      <c r="I245" s="18">
        <v>6269.21</v>
      </c>
      <c r="J245" s="18">
        <v>22721.919999999998</v>
      </c>
      <c r="K245" s="18">
        <v>112.96</v>
      </c>
      <c r="L245" s="19">
        <f>SUM(F245:K245)</f>
        <v>130716.51000000001</v>
      </c>
      <c r="M245" s="8"/>
      <c r="N245" s="271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3095499.81</v>
      </c>
      <c r="G247" s="41">
        <f t="shared" si="5"/>
        <v>1438458.3399999999</v>
      </c>
      <c r="H247" s="41">
        <f t="shared" si="5"/>
        <v>716541.93999999983</v>
      </c>
      <c r="I247" s="41">
        <f t="shared" si="5"/>
        <v>365450.80000000005</v>
      </c>
      <c r="J247" s="41">
        <f t="shared" si="5"/>
        <v>95956.79</v>
      </c>
      <c r="K247" s="41">
        <f t="shared" si="5"/>
        <v>63786.219999999994</v>
      </c>
      <c r="L247" s="41">
        <f t="shared" si="5"/>
        <v>5775693.8999999994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692</v>
      </c>
      <c r="G248" s="176" t="s">
        <v>693</v>
      </c>
      <c r="H248" s="176" t="s">
        <v>694</v>
      </c>
      <c r="I248" s="176" t="s">
        <v>695</v>
      </c>
      <c r="J248" s="176" t="s">
        <v>696</v>
      </c>
      <c r="K248" s="176" t="s">
        <v>697</v>
      </c>
      <c r="L248" s="67"/>
      <c r="M248" s="8"/>
      <c r="N248" s="271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8085885.8399999999</v>
      </c>
      <c r="G257" s="41">
        <f t="shared" si="8"/>
        <v>4163816.1300000004</v>
      </c>
      <c r="H257" s="41">
        <f t="shared" si="8"/>
        <v>1480763.9499999997</v>
      </c>
      <c r="I257" s="41">
        <f t="shared" si="8"/>
        <v>645416.64000000013</v>
      </c>
      <c r="J257" s="41">
        <f t="shared" si="8"/>
        <v>241652.49</v>
      </c>
      <c r="K257" s="41">
        <f t="shared" si="8"/>
        <v>107801.18</v>
      </c>
      <c r="L257" s="41">
        <f t="shared" si="8"/>
        <v>14725336.23</v>
      </c>
      <c r="M257" s="8"/>
      <c r="N257" s="271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560000</v>
      </c>
      <c r="L260" s="19">
        <f>SUM(F260:K260)</f>
        <v>560000</v>
      </c>
      <c r="M260" s="8"/>
      <c r="N260" s="271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226119</v>
      </c>
      <c r="L261" s="19">
        <f>SUM(F261:K261)</f>
        <v>226119</v>
      </c>
      <c r="N261" s="269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63017.04</v>
      </c>
      <c r="L263" s="19">
        <f>SUM(F263:K263)</f>
        <v>63017.04</v>
      </c>
      <c r="N263" s="269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69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97149.57</v>
      </c>
      <c r="L266" s="19">
        <f t="shared" si="9"/>
        <v>97149.57</v>
      </c>
      <c r="N266" s="269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69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69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946285.6100000001</v>
      </c>
      <c r="L270" s="41">
        <f t="shared" si="9"/>
        <v>946285.6100000001</v>
      </c>
      <c r="N270" s="269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8085885.8399999999</v>
      </c>
      <c r="G271" s="42">
        <f t="shared" si="11"/>
        <v>4163816.1300000004</v>
      </c>
      <c r="H271" s="42">
        <f t="shared" si="11"/>
        <v>1480763.9499999997</v>
      </c>
      <c r="I271" s="42">
        <f t="shared" si="11"/>
        <v>645416.64000000013</v>
      </c>
      <c r="J271" s="42">
        <f t="shared" si="11"/>
        <v>241652.49</v>
      </c>
      <c r="K271" s="42">
        <f t="shared" si="11"/>
        <v>1054086.79</v>
      </c>
      <c r="L271" s="42">
        <f t="shared" si="11"/>
        <v>15671621.84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466</v>
      </c>
      <c r="F273" s="176" t="s">
        <v>692</v>
      </c>
      <c r="G273" s="176" t="s">
        <v>693</v>
      </c>
      <c r="H273" s="176" t="s">
        <v>694</v>
      </c>
      <c r="I273" s="176" t="s">
        <v>695</v>
      </c>
      <c r="J273" s="176" t="s">
        <v>696</v>
      </c>
      <c r="K273" s="176" t="s">
        <v>697</v>
      </c>
      <c r="M273" s="8"/>
      <c r="N273" s="271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102232.37</v>
      </c>
      <c r="G276" s="18">
        <v>49585.71</v>
      </c>
      <c r="H276" s="18">
        <v>0</v>
      </c>
      <c r="I276" s="18">
        <v>1512</v>
      </c>
      <c r="J276" s="18">
        <v>0</v>
      </c>
      <c r="K276" s="18">
        <v>0</v>
      </c>
      <c r="L276" s="19">
        <f>SUM(F276:K276)</f>
        <v>153330.07999999999</v>
      </c>
      <c r="M276" s="8"/>
      <c r="N276" s="271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62098.07</v>
      </c>
      <c r="G277" s="18">
        <v>18220.79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80318.86</v>
      </c>
      <c r="M277" s="8"/>
      <c r="N277" s="271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1470</v>
      </c>
      <c r="G278" s="18">
        <v>288.75</v>
      </c>
      <c r="H278" s="18">
        <v>7457.12</v>
      </c>
      <c r="I278" s="18">
        <v>1414.5</v>
      </c>
      <c r="J278" s="18">
        <v>8556.94</v>
      </c>
      <c r="K278" s="18">
        <v>1472.67</v>
      </c>
      <c r="L278" s="19">
        <f>SUM(F278:K278)</f>
        <v>20659.979999999996</v>
      </c>
      <c r="M278" s="8"/>
      <c r="N278" s="271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1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10716.25</v>
      </c>
      <c r="G282" s="18">
        <v>2268.41</v>
      </c>
      <c r="H282" s="18">
        <v>40346.61</v>
      </c>
      <c r="I282" s="18">
        <v>3069.36</v>
      </c>
      <c r="J282" s="18">
        <v>1881</v>
      </c>
      <c r="K282" s="18">
        <v>883.02</v>
      </c>
      <c r="L282" s="19">
        <f t="shared" si="12"/>
        <v>59164.65</v>
      </c>
      <c r="M282" s="8"/>
      <c r="N282" s="271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5110.12</v>
      </c>
      <c r="L283" s="19">
        <f t="shared" si="12"/>
        <v>5110.12</v>
      </c>
      <c r="M283" s="8"/>
      <c r="N283" s="271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176516.69</v>
      </c>
      <c r="G290" s="42">
        <f t="shared" si="13"/>
        <v>70363.66</v>
      </c>
      <c r="H290" s="42">
        <f t="shared" si="13"/>
        <v>47803.73</v>
      </c>
      <c r="I290" s="42">
        <f t="shared" si="13"/>
        <v>5995.8600000000006</v>
      </c>
      <c r="J290" s="42">
        <f t="shared" si="13"/>
        <v>10437.94</v>
      </c>
      <c r="K290" s="42">
        <f t="shared" si="13"/>
        <v>7465.8099999999995</v>
      </c>
      <c r="L290" s="41">
        <f t="shared" si="13"/>
        <v>318583.69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6" t="s">
        <v>692</v>
      </c>
      <c r="G292" s="176" t="s">
        <v>693</v>
      </c>
      <c r="H292" s="176" t="s">
        <v>694</v>
      </c>
      <c r="I292" s="176" t="s">
        <v>695</v>
      </c>
      <c r="J292" s="176" t="s">
        <v>696</v>
      </c>
      <c r="K292" s="176" t="s">
        <v>697</v>
      </c>
      <c r="L292" s="17"/>
      <c r="M292" s="8"/>
      <c r="N292" s="271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40892.949999999997</v>
      </c>
      <c r="G295" s="18">
        <v>19834.28</v>
      </c>
      <c r="H295" s="18">
        <v>0</v>
      </c>
      <c r="I295" s="18">
        <v>604.79999999999995</v>
      </c>
      <c r="J295" s="18">
        <v>0</v>
      </c>
      <c r="K295" s="18">
        <v>0</v>
      </c>
      <c r="L295" s="19">
        <f>SUM(F295:K295)</f>
        <v>61332.03</v>
      </c>
      <c r="M295" s="8"/>
      <c r="N295" s="271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23678.51</v>
      </c>
      <c r="G296" s="18">
        <v>7288.32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30966.829999999998</v>
      </c>
      <c r="M296" s="8"/>
      <c r="N296" s="271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588</v>
      </c>
      <c r="G297" s="18">
        <v>115.5</v>
      </c>
      <c r="H297" s="18">
        <v>2982.85</v>
      </c>
      <c r="I297" s="18">
        <v>565.79999999999995</v>
      </c>
      <c r="J297" s="18">
        <v>3422.77</v>
      </c>
      <c r="K297" s="18">
        <v>589.07000000000005</v>
      </c>
      <c r="L297" s="19">
        <f>SUM(F297:K297)</f>
        <v>8263.99</v>
      </c>
      <c r="M297" s="8"/>
      <c r="N297" s="271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4286.5</v>
      </c>
      <c r="G301" s="18">
        <v>907.38</v>
      </c>
      <c r="H301" s="18">
        <v>15938.66</v>
      </c>
      <c r="I301" s="18">
        <v>1227.75</v>
      </c>
      <c r="J301" s="18">
        <v>752.4</v>
      </c>
      <c r="K301" s="18">
        <v>353.21</v>
      </c>
      <c r="L301" s="19">
        <f t="shared" si="14"/>
        <v>23465.9</v>
      </c>
      <c r="M301" s="8"/>
      <c r="N301" s="271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2044.04</v>
      </c>
      <c r="L302" s="19">
        <f t="shared" si="14"/>
        <v>2044.04</v>
      </c>
      <c r="M302" s="8"/>
      <c r="N302" s="271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69445.959999999992</v>
      </c>
      <c r="G309" s="42">
        <f t="shared" si="15"/>
        <v>28145.48</v>
      </c>
      <c r="H309" s="42">
        <f t="shared" si="15"/>
        <v>18921.509999999998</v>
      </c>
      <c r="I309" s="42">
        <f t="shared" si="15"/>
        <v>2398.35</v>
      </c>
      <c r="J309" s="42">
        <f t="shared" si="15"/>
        <v>4175.17</v>
      </c>
      <c r="K309" s="42">
        <f t="shared" si="15"/>
        <v>2986.3199999999997</v>
      </c>
      <c r="L309" s="41">
        <f t="shared" si="15"/>
        <v>126072.79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6" t="s">
        <v>692</v>
      </c>
      <c r="G311" s="176" t="s">
        <v>693</v>
      </c>
      <c r="H311" s="176" t="s">
        <v>694</v>
      </c>
      <c r="I311" s="176" t="s">
        <v>695</v>
      </c>
      <c r="J311" s="176" t="s">
        <v>696</v>
      </c>
      <c r="K311" s="176" t="s">
        <v>697</v>
      </c>
      <c r="L311" s="20"/>
      <c r="M311" s="8"/>
      <c r="N311" s="271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61339.43</v>
      </c>
      <c r="G314" s="18">
        <v>29751.43</v>
      </c>
      <c r="H314" s="18">
        <v>0</v>
      </c>
      <c r="I314" s="18">
        <v>4266.2</v>
      </c>
      <c r="J314" s="18">
        <v>1629</v>
      </c>
      <c r="K314" s="18">
        <v>0</v>
      </c>
      <c r="L314" s="19">
        <f>SUM(F314:K314)</f>
        <v>96986.06</v>
      </c>
      <c r="M314" s="8"/>
      <c r="N314" s="271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35517.769999999997</v>
      </c>
      <c r="G315" s="18">
        <v>10932.49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46450.259999999995</v>
      </c>
      <c r="M315" s="8"/>
      <c r="N315" s="271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882</v>
      </c>
      <c r="G316" s="18">
        <v>173.25</v>
      </c>
      <c r="H316" s="18">
        <v>4474.28</v>
      </c>
      <c r="I316" s="18">
        <v>848.71</v>
      </c>
      <c r="J316" s="18">
        <v>5134.16</v>
      </c>
      <c r="K316" s="18">
        <v>883.61</v>
      </c>
      <c r="L316" s="19">
        <f>SUM(F316:K316)</f>
        <v>12396.01</v>
      </c>
      <c r="M316" s="8"/>
      <c r="N316" s="271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9192.25</v>
      </c>
      <c r="G320" s="18">
        <v>1972.98</v>
      </c>
      <c r="H320" s="18">
        <v>24092.77</v>
      </c>
      <c r="I320" s="18">
        <v>2011.83</v>
      </c>
      <c r="J320" s="18">
        <v>1128.5999999999999</v>
      </c>
      <c r="K320" s="18">
        <v>529.80999999999995</v>
      </c>
      <c r="L320" s="19">
        <f t="shared" si="16"/>
        <v>38928.239999999998</v>
      </c>
      <c r="M320" s="8"/>
      <c r="N320" s="271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3492.69</v>
      </c>
      <c r="L321" s="19">
        <f t="shared" si="16"/>
        <v>3492.69</v>
      </c>
      <c r="M321" s="8"/>
      <c r="N321" s="271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106931.45</v>
      </c>
      <c r="G328" s="42">
        <f t="shared" si="17"/>
        <v>42830.15</v>
      </c>
      <c r="H328" s="42">
        <f t="shared" si="17"/>
        <v>28567.05</v>
      </c>
      <c r="I328" s="42">
        <f t="shared" si="17"/>
        <v>7126.74</v>
      </c>
      <c r="J328" s="42">
        <f t="shared" si="17"/>
        <v>7891.76</v>
      </c>
      <c r="K328" s="42">
        <f t="shared" si="17"/>
        <v>4906.1100000000006</v>
      </c>
      <c r="L328" s="41">
        <f t="shared" si="17"/>
        <v>198253.26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6" t="s">
        <v>692</v>
      </c>
      <c r="G330" s="176" t="s">
        <v>693</v>
      </c>
      <c r="H330" s="176" t="s">
        <v>694</v>
      </c>
      <c r="I330" s="176" t="s">
        <v>695</v>
      </c>
      <c r="J330" s="176" t="s">
        <v>696</v>
      </c>
      <c r="K330" s="176" t="s">
        <v>697</v>
      </c>
      <c r="L330" s="19"/>
      <c r="M330" s="8"/>
      <c r="N330" s="271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352894.1</v>
      </c>
      <c r="G338" s="41">
        <f t="shared" si="20"/>
        <v>141339.29</v>
      </c>
      <c r="H338" s="41">
        <f t="shared" si="20"/>
        <v>95292.290000000008</v>
      </c>
      <c r="I338" s="41">
        <f t="shared" si="20"/>
        <v>15520.95</v>
      </c>
      <c r="J338" s="41">
        <f t="shared" si="20"/>
        <v>22504.870000000003</v>
      </c>
      <c r="K338" s="41">
        <f t="shared" si="20"/>
        <v>15358.24</v>
      </c>
      <c r="L338" s="41">
        <f t="shared" si="20"/>
        <v>642909.74</v>
      </c>
      <c r="M338" s="8"/>
      <c r="N338" s="271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10989.8</v>
      </c>
      <c r="L344" s="19">
        <f t="shared" ref="L344:L350" si="21">SUM(F344:K344)</f>
        <v>10989.8</v>
      </c>
      <c r="M344" s="8"/>
      <c r="N344" s="271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10989.8</v>
      </c>
      <c r="L351" s="41">
        <f>SUM(L341:L350)</f>
        <v>10989.8</v>
      </c>
      <c r="M351" s="8"/>
      <c r="N351" s="271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352894.1</v>
      </c>
      <c r="G352" s="41">
        <f>G338</f>
        <v>141339.29</v>
      </c>
      <c r="H352" s="41">
        <f>H338</f>
        <v>95292.290000000008</v>
      </c>
      <c r="I352" s="41">
        <f>I338</f>
        <v>15520.95</v>
      </c>
      <c r="J352" s="41">
        <f>J338</f>
        <v>22504.870000000003</v>
      </c>
      <c r="K352" s="47">
        <f>K338+K351</f>
        <v>26348.04</v>
      </c>
      <c r="L352" s="41">
        <f>L338+L351</f>
        <v>653899.54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692</v>
      </c>
      <c r="G354" s="176" t="s">
        <v>693</v>
      </c>
      <c r="H354" s="176" t="s">
        <v>694</v>
      </c>
      <c r="I354" s="176" t="s">
        <v>695</v>
      </c>
      <c r="J354" s="176" t="s">
        <v>696</v>
      </c>
      <c r="K354" s="176" t="s">
        <v>697</v>
      </c>
      <c r="L354" s="53"/>
      <c r="M354" s="8"/>
      <c r="N354" s="271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0</v>
      </c>
      <c r="G358" s="18">
        <v>0</v>
      </c>
      <c r="H358" s="18">
        <v>103379.61</v>
      </c>
      <c r="I358" s="18">
        <v>98104.87</v>
      </c>
      <c r="J358" s="18">
        <v>0</v>
      </c>
      <c r="K358" s="18">
        <v>0</v>
      </c>
      <c r="L358" s="13">
        <f>SUM(F358:K358)</f>
        <v>201484.47999999998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0</v>
      </c>
      <c r="G360" s="18">
        <v>0</v>
      </c>
      <c r="H360" s="18">
        <v>102277.93</v>
      </c>
      <c r="I360" s="18">
        <v>138526.71</v>
      </c>
      <c r="J360" s="18">
        <v>0</v>
      </c>
      <c r="K360" s="18">
        <v>0</v>
      </c>
      <c r="L360" s="19">
        <f>SUM(F360:K360)</f>
        <v>240804.63999999998</v>
      </c>
      <c r="M360" s="8"/>
      <c r="N360" s="271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0</v>
      </c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205657.53999999998</v>
      </c>
      <c r="I362" s="47">
        <f t="shared" si="22"/>
        <v>236631.58</v>
      </c>
      <c r="J362" s="47">
        <f t="shared" si="22"/>
        <v>0</v>
      </c>
      <c r="K362" s="47">
        <f t="shared" si="22"/>
        <v>0</v>
      </c>
      <c r="L362" s="47">
        <f t="shared" si="22"/>
        <v>442289.12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84831.81</v>
      </c>
      <c r="G367" s="18">
        <v>0</v>
      </c>
      <c r="H367" s="18">
        <v>124883.19</v>
      </c>
      <c r="I367" s="56">
        <f>SUM(F367:H367)</f>
        <v>209715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13273.059999999998</v>
      </c>
      <c r="G368" s="63">
        <v>0</v>
      </c>
      <c r="H368" s="63">
        <v>13643.51999999999</v>
      </c>
      <c r="I368" s="56">
        <f>SUM(F368:H368)</f>
        <v>26916.579999999987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98104.87</v>
      </c>
      <c r="G369" s="47">
        <f>SUM(G367:G368)</f>
        <v>0</v>
      </c>
      <c r="H369" s="47">
        <f>SUM(H367:H368)</f>
        <v>138526.71</v>
      </c>
      <c r="I369" s="47">
        <f>SUM(I367:I368)</f>
        <v>236631.58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6" t="s">
        <v>692</v>
      </c>
      <c r="G371" s="176" t="s">
        <v>693</v>
      </c>
      <c r="H371" s="176" t="s">
        <v>694</v>
      </c>
      <c r="I371" s="176" t="s">
        <v>695</v>
      </c>
      <c r="J371" s="176" t="s">
        <v>696</v>
      </c>
      <c r="K371" s="176" t="s">
        <v>697</v>
      </c>
      <c r="L371" s="13"/>
      <c r="M371" s="8"/>
      <c r="N371" s="271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0</v>
      </c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>
        <v>0</v>
      </c>
      <c r="G387" s="18">
        <v>0</v>
      </c>
      <c r="H387" s="18">
        <v>0</v>
      </c>
      <c r="I387" s="18">
        <v>0</v>
      </c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288</v>
      </c>
      <c r="K388" s="24" t="s">
        <v>288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288</v>
      </c>
      <c r="K389" s="24" t="s">
        <v>288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288</v>
      </c>
      <c r="K391" s="24" t="s">
        <v>288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288</v>
      </c>
      <c r="K392" s="24" t="s">
        <v>288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59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>
        <v>50000</v>
      </c>
      <c r="H396" s="18">
        <v>805.27</v>
      </c>
      <c r="I396" s="18">
        <v>0</v>
      </c>
      <c r="J396" s="24" t="s">
        <v>288</v>
      </c>
      <c r="K396" s="24" t="s">
        <v>288</v>
      </c>
      <c r="L396" s="56">
        <f t="shared" si="26"/>
        <v>50805.27</v>
      </c>
      <c r="M396" s="8"/>
      <c r="N396" s="271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>
        <v>0</v>
      </c>
      <c r="G397" s="18">
        <v>0</v>
      </c>
      <c r="H397" s="18">
        <v>773.02</v>
      </c>
      <c r="I397" s="18">
        <v>0</v>
      </c>
      <c r="J397" s="24" t="s">
        <v>288</v>
      </c>
      <c r="K397" s="24" t="s">
        <v>288</v>
      </c>
      <c r="L397" s="56">
        <f t="shared" si="26"/>
        <v>773.02</v>
      </c>
      <c r="M397" s="8"/>
      <c r="N397" s="271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>
        <v>0</v>
      </c>
      <c r="G400" s="18">
        <v>47149.57</v>
      </c>
      <c r="H400" s="18">
        <v>2424.9899999999998</v>
      </c>
      <c r="I400" s="18">
        <v>0</v>
      </c>
      <c r="J400" s="24" t="s">
        <v>288</v>
      </c>
      <c r="K400" s="24" t="s">
        <v>288</v>
      </c>
      <c r="L400" s="56">
        <f t="shared" si="26"/>
        <v>49574.559999999998</v>
      </c>
      <c r="M400" s="8"/>
      <c r="N400" s="271"/>
    </row>
    <row r="401" spans="1:21" s="3" customFormat="1" ht="12" customHeight="1" thickTop="1" x14ac:dyDescent="0.15">
      <c r="A401" s="159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97149.57</v>
      </c>
      <c r="H401" s="47">
        <f>SUM(H395:H400)</f>
        <v>4003.2799999999997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101152.84999999999</v>
      </c>
      <c r="M401" s="8"/>
      <c r="N401" s="271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97149.57</v>
      </c>
      <c r="H408" s="47">
        <f>H393+H401+H407</f>
        <v>4003.2799999999997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101152.84999999999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692</v>
      </c>
      <c r="G409" s="176" t="s">
        <v>693</v>
      </c>
      <c r="H409" s="176" t="s">
        <v>694</v>
      </c>
      <c r="I409" s="176" t="s">
        <v>695</v>
      </c>
      <c r="J409" s="176" t="s">
        <v>696</v>
      </c>
      <c r="K409" s="176" t="s">
        <v>697</v>
      </c>
      <c r="L409" s="56"/>
      <c r="M409" s="8"/>
      <c r="N409" s="271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59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30375</v>
      </c>
      <c r="L422" s="56">
        <f t="shared" si="29"/>
        <v>30375</v>
      </c>
      <c r="M422" s="8"/>
      <c r="N422" s="271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94300</v>
      </c>
      <c r="L426" s="56">
        <f t="shared" si="29"/>
        <v>94300</v>
      </c>
      <c r="M426" s="8"/>
      <c r="N426" s="271"/>
    </row>
    <row r="427" spans="1:21" s="3" customFormat="1" ht="12" customHeight="1" thickTop="1" x14ac:dyDescent="0.15">
      <c r="A427" s="159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124675</v>
      </c>
      <c r="L427" s="47">
        <f t="shared" si="30"/>
        <v>124675</v>
      </c>
      <c r="M427" s="8"/>
      <c r="N427" s="271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124675</v>
      </c>
      <c r="L434" s="47">
        <f t="shared" si="32"/>
        <v>124675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772960.38000000012</v>
      </c>
      <c r="G439" s="18">
        <v>0</v>
      </c>
      <c r="H439" s="18">
        <v>0</v>
      </c>
      <c r="I439" s="56">
        <f t="shared" ref="I439:I445" si="33">SUM(F439:H439)</f>
        <v>772960.38000000012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772960.38000000012</v>
      </c>
      <c r="G446" s="13">
        <f>SUM(G439:G445)</f>
        <v>0</v>
      </c>
      <c r="H446" s="13">
        <f>SUM(H439:H445)</f>
        <v>0</v>
      </c>
      <c r="I446" s="13">
        <f>SUM(I439:I445)</f>
        <v>772960.38000000012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772960.38000000012</v>
      </c>
      <c r="G459" s="18">
        <v>0</v>
      </c>
      <c r="H459" s="18">
        <v>0</v>
      </c>
      <c r="I459" s="56">
        <f t="shared" si="34"/>
        <v>772960.38000000012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772960.38000000012</v>
      </c>
      <c r="G460" s="83">
        <f>SUM(G454:G459)</f>
        <v>0</v>
      </c>
      <c r="H460" s="83">
        <f>SUM(H454:H459)</f>
        <v>0</v>
      </c>
      <c r="I460" s="83">
        <f>SUM(I454:I459)</f>
        <v>772960.38000000012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6" t="s">
        <v>432</v>
      </c>
      <c r="E461" s="82"/>
      <c r="F461" s="42">
        <f>F452+F460</f>
        <v>772960.38000000012</v>
      </c>
      <c r="G461" s="42">
        <f>G452+G460</f>
        <v>0</v>
      </c>
      <c r="H461" s="42">
        <f>H452+H460</f>
        <v>0</v>
      </c>
      <c r="I461" s="42">
        <f>I452+I460</f>
        <v>772960.38000000012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903</v>
      </c>
      <c r="B465" s="105">
        <v>19</v>
      </c>
      <c r="C465" s="111">
        <v>1</v>
      </c>
      <c r="D465" s="2" t="s">
        <v>432</v>
      </c>
      <c r="E465" s="111"/>
      <c r="F465" s="18">
        <v>712196.03</v>
      </c>
      <c r="G465" s="18">
        <v>3634.76</v>
      </c>
      <c r="H465" s="18">
        <v>0</v>
      </c>
      <c r="I465" s="18">
        <v>0</v>
      </c>
      <c r="J465" s="18">
        <v>796482.53</v>
      </c>
      <c r="K465" s="24" t="s">
        <v>288</v>
      </c>
      <c r="L465" s="24" t="s">
        <v>288</v>
      </c>
      <c r="N465" s="270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15438878.540000001</v>
      </c>
      <c r="G468" s="18">
        <v>442806.35000000003</v>
      </c>
      <c r="H468" s="18">
        <v>653899.54</v>
      </c>
      <c r="I468" s="18">
        <v>0</v>
      </c>
      <c r="J468" s="18">
        <v>101152.85</v>
      </c>
      <c r="K468" s="24" t="s">
        <v>288</v>
      </c>
      <c r="L468" s="24" t="s">
        <v>288</v>
      </c>
      <c r="N468" s="270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288</v>
      </c>
      <c r="L469" s="24" t="s">
        <v>288</v>
      </c>
      <c r="N469" s="270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15438878.540000001</v>
      </c>
      <c r="G470" s="53">
        <f>SUM(G468:G469)</f>
        <v>442806.35000000003</v>
      </c>
      <c r="H470" s="53">
        <f>SUM(H468:H469)</f>
        <v>653899.54</v>
      </c>
      <c r="I470" s="53">
        <f>SUM(I468:I469)</f>
        <v>0</v>
      </c>
      <c r="J470" s="53">
        <f>SUM(J468:J469)</f>
        <v>101152.85</v>
      </c>
      <c r="K470" s="24" t="s">
        <v>288</v>
      </c>
      <c r="L470" s="24" t="s">
        <v>288</v>
      </c>
      <c r="N470" s="270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15671621.84</v>
      </c>
      <c r="G472" s="18">
        <v>442289.12</v>
      </c>
      <c r="H472" s="18">
        <v>653899.54</v>
      </c>
      <c r="I472" s="18">
        <v>0</v>
      </c>
      <c r="J472" s="18">
        <v>124675</v>
      </c>
      <c r="K472" s="24" t="s">
        <v>288</v>
      </c>
      <c r="L472" s="24" t="s">
        <v>288</v>
      </c>
      <c r="N472" s="270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288</v>
      </c>
      <c r="L473" s="24" t="s">
        <v>288</v>
      </c>
      <c r="N473" s="270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15671621.84</v>
      </c>
      <c r="G474" s="53">
        <f>SUM(G472:G473)</f>
        <v>442289.12</v>
      </c>
      <c r="H474" s="53">
        <f>SUM(H472:H473)</f>
        <v>653899.54</v>
      </c>
      <c r="I474" s="53">
        <f>SUM(I472:I473)</f>
        <v>0</v>
      </c>
      <c r="J474" s="53">
        <f>SUM(J472:J473)</f>
        <v>124675</v>
      </c>
      <c r="K474" s="24" t="s">
        <v>288</v>
      </c>
      <c r="L474" s="24" t="s">
        <v>288</v>
      </c>
      <c r="N474" s="270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" customHeight="1" x14ac:dyDescent="0.2">
      <c r="A476" s="189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479452.73000000045</v>
      </c>
      <c r="G476" s="53">
        <f>(G465+G470)- G474</f>
        <v>4151.9900000000489</v>
      </c>
      <c r="H476" s="53">
        <f>(H465+H470)- H474</f>
        <v>0</v>
      </c>
      <c r="I476" s="53">
        <f>(I465+I470)- I474</f>
        <v>0</v>
      </c>
      <c r="J476" s="53">
        <f>(J465+J470)- J474</f>
        <v>772960.38</v>
      </c>
      <c r="K476" s="24" t="s">
        <v>288</v>
      </c>
      <c r="L476" s="24" t="s">
        <v>288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6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3">
        <v>20</v>
      </c>
      <c r="G490" s="153">
        <v>17</v>
      </c>
      <c r="H490" s="153"/>
      <c r="I490" s="153"/>
      <c r="J490" s="153"/>
      <c r="K490" s="24" t="s">
        <v>288</v>
      </c>
      <c r="L490" s="24" t="s">
        <v>288</v>
      </c>
      <c r="N490" s="270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4" t="s">
        <v>912</v>
      </c>
      <c r="G491" s="154" t="s">
        <v>913</v>
      </c>
      <c r="H491" s="153"/>
      <c r="I491" s="153"/>
      <c r="J491" s="153"/>
      <c r="K491" s="24" t="s">
        <v>288</v>
      </c>
      <c r="L491" s="24" t="s">
        <v>288</v>
      </c>
      <c r="N491" s="270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4" t="s">
        <v>914</v>
      </c>
      <c r="G492" s="154" t="s">
        <v>915</v>
      </c>
      <c r="H492" s="153"/>
      <c r="I492" s="153"/>
      <c r="J492" s="153"/>
      <c r="K492" s="24" t="s">
        <v>288</v>
      </c>
      <c r="L492" s="24" t="s">
        <v>288</v>
      </c>
      <c r="N492" s="270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6000000</v>
      </c>
      <c r="G493" s="18">
        <v>4160640</v>
      </c>
      <c r="H493" s="18"/>
      <c r="I493" s="18"/>
      <c r="J493" s="18"/>
      <c r="K493" s="24" t="s">
        <v>288</v>
      </c>
      <c r="L493" s="24" t="s">
        <v>288</v>
      </c>
      <c r="N493" s="270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3.9</v>
      </c>
      <c r="G494" s="18">
        <v>5.39</v>
      </c>
      <c r="H494" s="18" t="s">
        <v>916</v>
      </c>
      <c r="I494" s="18"/>
      <c r="J494" s="18"/>
      <c r="K494" s="24" t="s">
        <v>288</v>
      </c>
      <c r="L494" s="24" t="s">
        <v>288</v>
      </c>
      <c r="N494" s="270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2100000</v>
      </c>
      <c r="G495" s="18">
        <v>2860000</v>
      </c>
      <c r="H495" s="18"/>
      <c r="I495" s="18"/>
      <c r="J495" s="18"/>
      <c r="K495" s="53">
        <f>SUM(F495:J495)</f>
        <v>4960000</v>
      </c>
      <c r="L495" s="24" t="s">
        <v>288</v>
      </c>
      <c r="N495" s="270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0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300000</v>
      </c>
      <c r="G497" s="18">
        <v>260000</v>
      </c>
      <c r="H497" s="18"/>
      <c r="I497" s="18"/>
      <c r="J497" s="18"/>
      <c r="K497" s="53">
        <f t="shared" si="35"/>
        <v>560000</v>
      </c>
      <c r="L497" s="24" t="s">
        <v>288</v>
      </c>
      <c r="N497" s="270"/>
    </row>
    <row r="498" spans="1:14" s="52" customFormat="1" ht="12" customHeight="1" x14ac:dyDescent="0.2">
      <c r="A498" s="199" t="s">
        <v>625</v>
      </c>
      <c r="B498" s="200">
        <v>20</v>
      </c>
      <c r="C498" s="201">
        <v>9</v>
      </c>
      <c r="D498" s="202" t="s">
        <v>432</v>
      </c>
      <c r="E498" s="201"/>
      <c r="F498" s="203">
        <v>1800000</v>
      </c>
      <c r="G498" s="203">
        <v>2600000</v>
      </c>
      <c r="H498" s="203"/>
      <c r="I498" s="203"/>
      <c r="J498" s="203"/>
      <c r="K498" s="204">
        <f t="shared" si="35"/>
        <v>4400000</v>
      </c>
      <c r="L498" s="205" t="s">
        <v>288</v>
      </c>
      <c r="N498" s="270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151047</v>
      </c>
      <c r="G499" s="18">
        <v>700700</v>
      </c>
      <c r="H499" s="18"/>
      <c r="I499" s="18"/>
      <c r="J499" s="18"/>
      <c r="K499" s="53">
        <f t="shared" si="35"/>
        <v>851747</v>
      </c>
      <c r="L499" s="24" t="s">
        <v>288</v>
      </c>
      <c r="N499" s="270"/>
    </row>
    <row r="500" spans="1:14" s="52" customFormat="1" ht="12" customHeight="1" thickTop="1" x14ac:dyDescent="0.2">
      <c r="A500" s="139" t="s">
        <v>627</v>
      </c>
      <c r="B500" s="44">
        <v>20</v>
      </c>
      <c r="C500" s="194">
        <v>11</v>
      </c>
      <c r="D500" s="39" t="s">
        <v>432</v>
      </c>
      <c r="E500" s="194"/>
      <c r="F500" s="42">
        <f>SUM(F498:F499)</f>
        <v>1951047</v>
      </c>
      <c r="G500" s="42">
        <f>SUM(G498:G499)</f>
        <v>3300700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5251747</v>
      </c>
      <c r="L500" s="45" t="s">
        <v>288</v>
      </c>
      <c r="N500" s="270"/>
    </row>
    <row r="501" spans="1:14" s="52" customFormat="1" ht="12" customHeight="1" x14ac:dyDescent="0.2">
      <c r="A501" s="199" t="s">
        <v>654</v>
      </c>
      <c r="B501" s="200">
        <v>20</v>
      </c>
      <c r="C501" s="201">
        <v>12</v>
      </c>
      <c r="D501" s="202" t="s">
        <v>432</v>
      </c>
      <c r="E501" s="201"/>
      <c r="F501" s="203">
        <v>300000</v>
      </c>
      <c r="G501" s="203">
        <v>260000</v>
      </c>
      <c r="H501" s="203"/>
      <c r="I501" s="203"/>
      <c r="J501" s="203"/>
      <c r="K501" s="204">
        <f t="shared" si="35"/>
        <v>560000</v>
      </c>
      <c r="L501" s="205" t="s">
        <v>288</v>
      </c>
      <c r="N501" s="270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66222</v>
      </c>
      <c r="G502" s="18">
        <v>133133</v>
      </c>
      <c r="H502" s="18"/>
      <c r="I502" s="18"/>
      <c r="J502" s="18"/>
      <c r="K502" s="53">
        <f t="shared" si="35"/>
        <v>199355</v>
      </c>
      <c r="L502" s="24" t="s">
        <v>288</v>
      </c>
      <c r="N502" s="270"/>
    </row>
    <row r="503" spans="1:14" s="52" customFormat="1" ht="12" customHeight="1" thickTop="1" x14ac:dyDescent="0.2">
      <c r="A503" s="139" t="s">
        <v>629</v>
      </c>
      <c r="B503" s="44">
        <v>20</v>
      </c>
      <c r="C503" s="194">
        <v>14</v>
      </c>
      <c r="D503" s="39" t="s">
        <v>432</v>
      </c>
      <c r="E503" s="194"/>
      <c r="F503" s="42">
        <f>SUM(F501:F502)</f>
        <v>366222</v>
      </c>
      <c r="G503" s="42">
        <f>SUM(G501:G502)</f>
        <v>393133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759355</v>
      </c>
      <c r="L503" s="45" t="s">
        <v>288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0</v>
      </c>
      <c r="G507" s="144">
        <v>0</v>
      </c>
      <c r="H507" s="144">
        <v>0</v>
      </c>
      <c r="I507" s="144">
        <v>0</v>
      </c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6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6" t="s">
        <v>692</v>
      </c>
      <c r="G518" s="176" t="s">
        <v>693</v>
      </c>
      <c r="H518" s="176" t="s">
        <v>694</v>
      </c>
      <c r="I518" s="176" t="s">
        <v>695</v>
      </c>
      <c r="J518" s="176" t="s">
        <v>696</v>
      </c>
      <c r="K518" s="176" t="s">
        <v>697</v>
      </c>
      <c r="L518" s="106"/>
      <c r="N518" s="270"/>
    </row>
    <row r="519" spans="1:14" s="52" customFormat="1" ht="12" customHeight="1" x14ac:dyDescent="0.2">
      <c r="A519" s="177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829777.39000000013</v>
      </c>
      <c r="G521" s="18">
        <v>532436.39</v>
      </c>
      <c r="H521" s="18">
        <v>72258.530000000013</v>
      </c>
      <c r="I521" s="18">
        <v>4269.09</v>
      </c>
      <c r="J521" s="18">
        <v>0</v>
      </c>
      <c r="K521" s="18">
        <v>1437.35</v>
      </c>
      <c r="L521" s="88">
        <f>SUM(F521:K521)</f>
        <v>1440178.7500000005</v>
      </c>
      <c r="N521" s="270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243119.58999999997</v>
      </c>
      <c r="G522" s="18">
        <v>98918.949999999983</v>
      </c>
      <c r="H522" s="18">
        <v>2452.2800000000002</v>
      </c>
      <c r="I522" s="18">
        <v>836.9699999999998</v>
      </c>
      <c r="J522" s="18">
        <v>0</v>
      </c>
      <c r="K522" s="18">
        <v>973.15</v>
      </c>
      <c r="L522" s="88">
        <f>SUM(F522:K522)</f>
        <v>346300.93999999994</v>
      </c>
      <c r="N522" s="270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422378.61</v>
      </c>
      <c r="G523" s="18">
        <v>171988.6</v>
      </c>
      <c r="H523" s="18">
        <v>132156.09</v>
      </c>
      <c r="I523" s="18">
        <v>1762.1400000000003</v>
      </c>
      <c r="J523" s="18">
        <v>0</v>
      </c>
      <c r="K523" s="18">
        <v>2104.08</v>
      </c>
      <c r="L523" s="88">
        <f>SUM(F523:K523)</f>
        <v>730389.5199999999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432</v>
      </c>
      <c r="E524" s="194"/>
      <c r="F524" s="108">
        <f>SUM(F521:F523)</f>
        <v>1495275.5899999999</v>
      </c>
      <c r="G524" s="108">
        <f t="shared" ref="G524:L524" si="36">SUM(G521:G523)</f>
        <v>803343.94</v>
      </c>
      <c r="H524" s="108">
        <f t="shared" si="36"/>
        <v>206866.90000000002</v>
      </c>
      <c r="I524" s="108">
        <f t="shared" si="36"/>
        <v>6868.2</v>
      </c>
      <c r="J524" s="108">
        <f t="shared" si="36"/>
        <v>0</v>
      </c>
      <c r="K524" s="108">
        <f t="shared" si="36"/>
        <v>4514.58</v>
      </c>
      <c r="L524" s="89">
        <f t="shared" si="36"/>
        <v>2516869.2100000004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190841.65</v>
      </c>
      <c r="G526" s="18">
        <v>68764.740000000005</v>
      </c>
      <c r="H526" s="18">
        <v>31970</v>
      </c>
      <c r="I526" s="18">
        <v>3653.65</v>
      </c>
      <c r="J526" s="18">
        <v>1600.25</v>
      </c>
      <c r="K526" s="18">
        <v>1642.1200000000001</v>
      </c>
      <c r="L526" s="88">
        <f>SUM(F526:K526)</f>
        <v>298472.41000000003</v>
      </c>
      <c r="M526" s="8"/>
      <c r="N526" s="271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40489.25</v>
      </c>
      <c r="G527" s="18">
        <v>19254.95</v>
      </c>
      <c r="H527" s="18">
        <v>11512.5</v>
      </c>
      <c r="I527" s="18">
        <v>0</v>
      </c>
      <c r="J527" s="18">
        <v>0</v>
      </c>
      <c r="K527" s="18">
        <v>194.77</v>
      </c>
      <c r="L527" s="88">
        <f>SUM(F527:K527)</f>
        <v>71451.47</v>
      </c>
      <c r="M527" s="8"/>
      <c r="N527" s="271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60733.619999999995</v>
      </c>
      <c r="G528" s="18">
        <v>28726.14</v>
      </c>
      <c r="H528" s="18">
        <v>14832.5</v>
      </c>
      <c r="I528" s="18">
        <v>0</v>
      </c>
      <c r="J528" s="18">
        <v>0</v>
      </c>
      <c r="K528" s="18">
        <v>96.25</v>
      </c>
      <c r="L528" s="88">
        <f>SUM(F528:K528)</f>
        <v>104388.51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432</v>
      </c>
      <c r="E529" s="107"/>
      <c r="F529" s="89">
        <f>SUM(F526:F528)</f>
        <v>292064.52</v>
      </c>
      <c r="G529" s="89">
        <f t="shared" ref="G529:L529" si="37">SUM(G526:G528)</f>
        <v>116745.83</v>
      </c>
      <c r="H529" s="89">
        <f t="shared" si="37"/>
        <v>58315</v>
      </c>
      <c r="I529" s="89">
        <f t="shared" si="37"/>
        <v>3653.65</v>
      </c>
      <c r="J529" s="89">
        <f t="shared" si="37"/>
        <v>1600.25</v>
      </c>
      <c r="K529" s="89">
        <f t="shared" si="37"/>
        <v>1933.14</v>
      </c>
      <c r="L529" s="89">
        <f t="shared" si="37"/>
        <v>474312.39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40085.949999999997</v>
      </c>
      <c r="G531" s="18">
        <v>22374.959999999999</v>
      </c>
      <c r="H531" s="18">
        <v>0</v>
      </c>
      <c r="I531" s="18">
        <v>2830.59</v>
      </c>
      <c r="J531" s="18">
        <v>450.89</v>
      </c>
      <c r="K531" s="18">
        <v>0</v>
      </c>
      <c r="L531" s="88">
        <f>SUM(F531:K531)</f>
        <v>65742.39</v>
      </c>
      <c r="M531" s="8"/>
      <c r="N531" s="271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26724.05</v>
      </c>
      <c r="G532" s="18">
        <v>14916.190000000002</v>
      </c>
      <c r="H532" s="18">
        <v>0</v>
      </c>
      <c r="I532" s="18">
        <v>2383.9</v>
      </c>
      <c r="J532" s="18">
        <v>102.32</v>
      </c>
      <c r="K532" s="18">
        <v>0</v>
      </c>
      <c r="L532" s="88">
        <f>SUM(F532:K532)</f>
        <v>44126.460000000006</v>
      </c>
      <c r="M532" s="8"/>
      <c r="N532" s="271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0</v>
      </c>
      <c r="I533" s="18">
        <v>2874.37</v>
      </c>
      <c r="J533" s="18">
        <v>0</v>
      </c>
      <c r="K533" s="18">
        <v>0</v>
      </c>
      <c r="L533" s="88">
        <f>SUM(F533:K533)</f>
        <v>2874.37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432</v>
      </c>
      <c r="E534" s="107"/>
      <c r="F534" s="89">
        <f>SUM(F531:F533)</f>
        <v>66810</v>
      </c>
      <c r="G534" s="89">
        <f t="shared" ref="G534:L534" si="38">SUM(G531:G533)</f>
        <v>37291.15</v>
      </c>
      <c r="H534" s="89">
        <f t="shared" si="38"/>
        <v>0</v>
      </c>
      <c r="I534" s="89">
        <f t="shared" si="38"/>
        <v>8088.86</v>
      </c>
      <c r="J534" s="89">
        <f t="shared" si="38"/>
        <v>553.21</v>
      </c>
      <c r="K534" s="89">
        <f t="shared" si="38"/>
        <v>0</v>
      </c>
      <c r="L534" s="89">
        <f t="shared" si="38"/>
        <v>112743.22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288</v>
      </c>
      <c r="G535" s="193" t="s">
        <v>288</v>
      </c>
      <c r="H535" s="193" t="s">
        <v>288</v>
      </c>
      <c r="I535" s="193" t="s">
        <v>288</v>
      </c>
      <c r="J535" s="193" t="s">
        <v>288</v>
      </c>
      <c r="K535" s="193" t="s">
        <v>288</v>
      </c>
      <c r="L535" s="193" t="s">
        <v>288</v>
      </c>
      <c r="M535" s="8"/>
      <c r="N535" s="271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23000.82</v>
      </c>
      <c r="G541" s="18">
        <v>14241.510000000002</v>
      </c>
      <c r="H541" s="18">
        <v>13881.32</v>
      </c>
      <c r="I541" s="18">
        <v>3867.82</v>
      </c>
      <c r="J541" s="18">
        <v>0</v>
      </c>
      <c r="K541" s="18">
        <v>0</v>
      </c>
      <c r="L541" s="88">
        <f>SUM(F541:K541)</f>
        <v>54991.47</v>
      </c>
      <c r="M541" s="8"/>
      <c r="N541" s="271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1120.51</v>
      </c>
      <c r="I542" s="18">
        <v>0</v>
      </c>
      <c r="J542" s="18">
        <v>0</v>
      </c>
      <c r="K542" s="18">
        <v>0</v>
      </c>
      <c r="L542" s="88">
        <f>SUM(F542:K542)</f>
        <v>1120.51</v>
      </c>
      <c r="M542" s="8"/>
      <c r="N542" s="271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1680.76</v>
      </c>
      <c r="I543" s="18">
        <v>0</v>
      </c>
      <c r="J543" s="18">
        <v>0</v>
      </c>
      <c r="K543" s="18">
        <v>0</v>
      </c>
      <c r="L543" s="88">
        <f>SUM(F543:K543)</f>
        <v>1680.76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432</v>
      </c>
      <c r="E544" s="190"/>
      <c r="F544" s="192">
        <f>SUM(F541:F543)</f>
        <v>23000.82</v>
      </c>
      <c r="G544" s="192">
        <f t="shared" ref="G544:L544" si="40">SUM(G541:G543)</f>
        <v>14241.510000000002</v>
      </c>
      <c r="H544" s="192">
        <f t="shared" si="40"/>
        <v>16682.59</v>
      </c>
      <c r="I544" s="192">
        <f t="shared" si="40"/>
        <v>3867.82</v>
      </c>
      <c r="J544" s="192">
        <f t="shared" si="40"/>
        <v>0</v>
      </c>
      <c r="K544" s="192">
        <f t="shared" si="40"/>
        <v>0</v>
      </c>
      <c r="L544" s="192">
        <f t="shared" si="40"/>
        <v>57792.740000000005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432</v>
      </c>
      <c r="E545" s="107"/>
      <c r="F545" s="89">
        <f>F524+F529+F534+F539+F544</f>
        <v>1877150.93</v>
      </c>
      <c r="G545" s="89">
        <f t="shared" ref="G545:L545" si="41">G524+G529+G534+G539+G544</f>
        <v>971622.42999999993</v>
      </c>
      <c r="H545" s="89">
        <f t="shared" si="41"/>
        <v>281864.49000000005</v>
      </c>
      <c r="I545" s="89">
        <f t="shared" si="41"/>
        <v>22478.53</v>
      </c>
      <c r="J545" s="89">
        <f t="shared" si="41"/>
        <v>2153.46</v>
      </c>
      <c r="K545" s="89">
        <f t="shared" si="41"/>
        <v>6447.72</v>
      </c>
      <c r="L545" s="89">
        <f t="shared" si="41"/>
        <v>3161717.560000001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1440178.7500000005</v>
      </c>
      <c r="G549" s="87">
        <f>L526</f>
        <v>298472.41000000003</v>
      </c>
      <c r="H549" s="87">
        <f>L531</f>
        <v>65742.39</v>
      </c>
      <c r="I549" s="87">
        <f>L536</f>
        <v>0</v>
      </c>
      <c r="J549" s="87">
        <f>L541</f>
        <v>54991.47</v>
      </c>
      <c r="K549" s="87">
        <f>SUM(F549:J549)</f>
        <v>1859385.0200000005</v>
      </c>
      <c r="L549" s="24" t="s">
        <v>288</v>
      </c>
      <c r="M549" s="8"/>
      <c r="N549" s="271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346300.93999999994</v>
      </c>
      <c r="G550" s="87">
        <f>L527</f>
        <v>71451.47</v>
      </c>
      <c r="H550" s="87">
        <f>L532</f>
        <v>44126.460000000006</v>
      </c>
      <c r="I550" s="87">
        <f>L537</f>
        <v>0</v>
      </c>
      <c r="J550" s="87">
        <f>L542</f>
        <v>1120.51</v>
      </c>
      <c r="K550" s="87">
        <f>SUM(F550:J550)</f>
        <v>462999.37999999995</v>
      </c>
      <c r="L550" s="24" t="s">
        <v>288</v>
      </c>
      <c r="M550" s="8"/>
      <c r="N550" s="271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730389.5199999999</v>
      </c>
      <c r="G551" s="87">
        <f>L528</f>
        <v>104388.51</v>
      </c>
      <c r="H551" s="87">
        <f>L533</f>
        <v>2874.37</v>
      </c>
      <c r="I551" s="87">
        <f>L538</f>
        <v>0</v>
      </c>
      <c r="J551" s="87">
        <f>L543</f>
        <v>1680.76</v>
      </c>
      <c r="K551" s="87">
        <f>SUM(F551:J551)</f>
        <v>839333.15999999992</v>
      </c>
      <c r="L551" s="24" t="s">
        <v>288</v>
      </c>
      <c r="M551" s="8"/>
      <c r="N551" s="271"/>
    </row>
    <row r="552" spans="1:14" s="3" customFormat="1" ht="12" customHeight="1" thickTop="1" x14ac:dyDescent="0.15">
      <c r="A552" s="171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2516869.2100000004</v>
      </c>
      <c r="G552" s="89">
        <f t="shared" si="42"/>
        <v>474312.39</v>
      </c>
      <c r="H552" s="89">
        <f t="shared" si="42"/>
        <v>112743.22</v>
      </c>
      <c r="I552" s="89">
        <f t="shared" si="42"/>
        <v>0</v>
      </c>
      <c r="J552" s="89">
        <f t="shared" si="42"/>
        <v>57792.740000000005</v>
      </c>
      <c r="K552" s="89">
        <f t="shared" si="42"/>
        <v>3161717.5600000005</v>
      </c>
      <c r="L552" s="24"/>
      <c r="M552" s="8"/>
      <c r="N552" s="271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692</v>
      </c>
      <c r="G554" s="176" t="s">
        <v>693</v>
      </c>
      <c r="H554" s="176" t="s">
        <v>694</v>
      </c>
      <c r="I554" s="176" t="s">
        <v>695</v>
      </c>
      <c r="J554" s="176" t="s">
        <v>696</v>
      </c>
      <c r="K554" s="176" t="s">
        <v>697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432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54220</v>
      </c>
      <c r="G562" s="18">
        <v>0</v>
      </c>
      <c r="H562" s="18">
        <v>0</v>
      </c>
      <c r="I562" s="18">
        <v>1713.53</v>
      </c>
      <c r="J562" s="18">
        <v>357.53</v>
      </c>
      <c r="K562" s="18">
        <v>0</v>
      </c>
      <c r="L562" s="88">
        <f>SUM(F562:K562)</f>
        <v>56291.06</v>
      </c>
      <c r="M562" s="8"/>
      <c r="N562" s="271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23847.99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23847.99</v>
      </c>
      <c r="M563" s="8"/>
      <c r="N563" s="271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35772.01</v>
      </c>
      <c r="G564" s="18">
        <v>0</v>
      </c>
      <c r="H564" s="18">
        <v>0</v>
      </c>
      <c r="I564" s="18">
        <v>93.86</v>
      </c>
      <c r="J564" s="18">
        <v>0</v>
      </c>
      <c r="K564" s="18">
        <v>0</v>
      </c>
      <c r="L564" s="88">
        <f>SUM(F564:K564)</f>
        <v>35865.870000000003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432</v>
      </c>
      <c r="E565" s="107"/>
      <c r="F565" s="89">
        <f t="shared" ref="F565:L565" si="44">SUM(F562:F564)</f>
        <v>113840</v>
      </c>
      <c r="G565" s="89">
        <f t="shared" si="44"/>
        <v>0</v>
      </c>
      <c r="H565" s="89">
        <f t="shared" si="44"/>
        <v>0</v>
      </c>
      <c r="I565" s="89">
        <f t="shared" si="44"/>
        <v>1807.3899999999999</v>
      </c>
      <c r="J565" s="89">
        <f t="shared" si="44"/>
        <v>357.53</v>
      </c>
      <c r="K565" s="89">
        <f t="shared" si="44"/>
        <v>0</v>
      </c>
      <c r="L565" s="89">
        <f t="shared" si="44"/>
        <v>116004.92000000001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1000</v>
      </c>
      <c r="G567" s="18">
        <v>233.2</v>
      </c>
      <c r="H567" s="18">
        <v>0</v>
      </c>
      <c r="I567" s="18">
        <v>2176.67</v>
      </c>
      <c r="J567" s="18">
        <v>0</v>
      </c>
      <c r="K567" s="18">
        <v>0</v>
      </c>
      <c r="L567" s="88">
        <f>SUM(F567:K567)</f>
        <v>3409.87</v>
      </c>
      <c r="M567" s="8"/>
      <c r="N567" s="271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0</v>
      </c>
      <c r="G569" s="18">
        <v>0</v>
      </c>
      <c r="H569" s="18">
        <v>9731.99</v>
      </c>
      <c r="I569" s="18">
        <v>463.1</v>
      </c>
      <c r="J569" s="18">
        <v>0</v>
      </c>
      <c r="K569" s="18">
        <v>1284</v>
      </c>
      <c r="L569" s="88">
        <f>SUM(F569:K569)</f>
        <v>11479.09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432</v>
      </c>
      <c r="E570" s="190"/>
      <c r="F570" s="192">
        <f>SUM(F567:F569)</f>
        <v>1000</v>
      </c>
      <c r="G570" s="192">
        <f t="shared" ref="G570:L570" si="45">SUM(G567:G569)</f>
        <v>233.2</v>
      </c>
      <c r="H570" s="192">
        <f t="shared" si="45"/>
        <v>9731.99</v>
      </c>
      <c r="I570" s="192">
        <f t="shared" si="45"/>
        <v>2639.77</v>
      </c>
      <c r="J570" s="192">
        <f t="shared" si="45"/>
        <v>0</v>
      </c>
      <c r="K570" s="192">
        <f t="shared" si="45"/>
        <v>1284</v>
      </c>
      <c r="L570" s="192">
        <f t="shared" si="45"/>
        <v>14888.96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432</v>
      </c>
      <c r="E571" s="107"/>
      <c r="F571" s="89">
        <f>F560+F565+F570</f>
        <v>114840</v>
      </c>
      <c r="G571" s="89">
        <f t="shared" ref="G571:L571" si="46">G560+G565+G570</f>
        <v>233.2</v>
      </c>
      <c r="H571" s="89">
        <f t="shared" si="46"/>
        <v>9731.99</v>
      </c>
      <c r="I571" s="89">
        <f t="shared" si="46"/>
        <v>4447.16</v>
      </c>
      <c r="J571" s="89">
        <f t="shared" si="46"/>
        <v>357.53</v>
      </c>
      <c r="K571" s="89">
        <f t="shared" si="46"/>
        <v>1284</v>
      </c>
      <c r="L571" s="89">
        <f t="shared" si="46"/>
        <v>130893.88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0</v>
      </c>
      <c r="H575" s="18">
        <v>35754</v>
      </c>
      <c r="I575" s="87">
        <f>SUM(F575:H575)</f>
        <v>35754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0</v>
      </c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" customHeight="1" x14ac:dyDescent="0.15">
      <c r="A581" s="145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0</v>
      </c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" customHeight="1" x14ac:dyDescent="0.15">
      <c r="A582" s="145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61716.07</v>
      </c>
      <c r="G582" s="18">
        <v>0</v>
      </c>
      <c r="H582" s="18">
        <v>114495.18</v>
      </c>
      <c r="I582" s="87">
        <f t="shared" si="47"/>
        <v>176211.25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" customHeight="1" x14ac:dyDescent="0.15">
      <c r="A583" s="145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>
        <v>13640.61</v>
      </c>
      <c r="I584" s="87">
        <f t="shared" si="47"/>
        <v>13640.61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>
        <v>0</v>
      </c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" customHeight="1" x14ac:dyDescent="0.15">
      <c r="A588" s="172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6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113124.32</v>
      </c>
      <c r="I591" s="18">
        <v>44079.729999999996</v>
      </c>
      <c r="J591" s="18">
        <v>66119.59</v>
      </c>
      <c r="K591" s="104">
        <f t="shared" ref="K591:K597" si="48">SUM(H591:J591)</f>
        <v>223323.63999999998</v>
      </c>
      <c r="L591" s="24" t="s">
        <v>288</v>
      </c>
      <c r="M591" s="8"/>
      <c r="N591" s="271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54991.47</v>
      </c>
      <c r="I592" s="18">
        <v>1120.51</v>
      </c>
      <c r="J592" s="18">
        <v>1680.76</v>
      </c>
      <c r="K592" s="104">
        <f t="shared" si="48"/>
        <v>57792.740000000005</v>
      </c>
      <c r="L592" s="24" t="s">
        <v>288</v>
      </c>
      <c r="M592" s="8"/>
      <c r="N592" s="271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25476</v>
      </c>
      <c r="K593" s="104">
        <f t="shared" si="48"/>
        <v>25476</v>
      </c>
      <c r="L593" s="24" t="s">
        <v>288</v>
      </c>
      <c r="M593" s="8"/>
      <c r="N593" s="271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69729.3</v>
      </c>
      <c r="K594" s="104">
        <f t="shared" si="48"/>
        <v>69729.3</v>
      </c>
      <c r="L594" s="24" t="s">
        <v>288</v>
      </c>
      <c r="M594" s="8"/>
      <c r="N594" s="271"/>
    </row>
    <row r="595" spans="1:14" s="3" customFormat="1" ht="12" customHeight="1" x14ac:dyDescent="0.15">
      <c r="A595" s="170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7520</v>
      </c>
      <c r="I595" s="18">
        <v>0</v>
      </c>
      <c r="J595" s="18">
        <v>7579.92</v>
      </c>
      <c r="K595" s="104">
        <f t="shared" si="48"/>
        <v>15099.92</v>
      </c>
      <c r="L595" s="24" t="s">
        <v>288</v>
      </c>
      <c r="M595" s="8"/>
      <c r="N595" s="271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288</v>
      </c>
      <c r="M596" s="8"/>
      <c r="N596" s="271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288</v>
      </c>
      <c r="M597" s="8"/>
      <c r="N597" s="271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7">
        <v>2700</v>
      </c>
      <c r="G598" s="148" t="s">
        <v>97</v>
      </c>
      <c r="H598" s="108">
        <f>SUM(H591:H597)</f>
        <v>175635.79</v>
      </c>
      <c r="I598" s="108">
        <f>SUM(I591:I597)</f>
        <v>45200.24</v>
      </c>
      <c r="J598" s="108">
        <f>SUM(J591:J597)</f>
        <v>170585.57</v>
      </c>
      <c r="K598" s="108">
        <f>SUM(K591:K597)</f>
        <v>391421.6</v>
      </c>
      <c r="L598" s="24" t="s">
        <v>288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1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1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139320.91</v>
      </c>
      <c r="I604" s="18">
        <v>20987.9</v>
      </c>
      <c r="J604" s="18">
        <v>103848.55</v>
      </c>
      <c r="K604" s="104">
        <f>SUM(H604:J604)</f>
        <v>264157.36</v>
      </c>
      <c r="L604" s="24" t="s">
        <v>288</v>
      </c>
      <c r="M604" s="8"/>
      <c r="N604" s="271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8" t="s">
        <v>476</v>
      </c>
      <c r="G605" s="147">
        <v>700</v>
      </c>
      <c r="H605" s="108">
        <f>SUM(H602:H604)</f>
        <v>139320.91</v>
      </c>
      <c r="I605" s="108">
        <f>SUM(I602:I604)</f>
        <v>20987.9</v>
      </c>
      <c r="J605" s="108">
        <f>SUM(J602:J604)</f>
        <v>103848.55</v>
      </c>
      <c r="K605" s="108">
        <f>SUM(K602:K604)</f>
        <v>264157.36</v>
      </c>
      <c r="L605" s="24" t="s">
        <v>288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692</v>
      </c>
      <c r="G609" s="176" t="s">
        <v>693</v>
      </c>
      <c r="H609" s="176" t="s">
        <v>694</v>
      </c>
      <c r="I609" s="176" t="s">
        <v>695</v>
      </c>
      <c r="J609" s="176" t="s">
        <v>696</v>
      </c>
      <c r="K609" s="176" t="s">
        <v>697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1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49" t="s">
        <v>53</v>
      </c>
      <c r="G616" s="150"/>
      <c r="H616" s="150"/>
      <c r="I616" s="149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693832.19000000006</v>
      </c>
      <c r="H617" s="109">
        <f>SUM(F52)</f>
        <v>693832.19000000006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29153.760000000002</v>
      </c>
      <c r="H618" s="109">
        <f>SUM(G52)</f>
        <v>29153.759999999995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21243.040000000001</v>
      </c>
      <c r="H619" s="109">
        <f>SUM(H52)</f>
        <v>21243.040000000026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772960.38000000012</v>
      </c>
      <c r="H621" s="109">
        <f>SUM(J52)</f>
        <v>772960.38000000012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479452.7300000001</v>
      </c>
      <c r="H622" s="109">
        <f>F476</f>
        <v>479452.73000000045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4151.99</v>
      </c>
      <c r="H623" s="109">
        <f>G476</f>
        <v>4151.9900000000489</v>
      </c>
      <c r="I623" s="121" t="s">
        <v>102</v>
      </c>
      <c r="J623" s="109">
        <f t="shared" si="50"/>
        <v>-4.9112713895738125E-11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772960.38000000012</v>
      </c>
      <c r="H626" s="109">
        <f>J476</f>
        <v>772960.38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15438878.540000001</v>
      </c>
      <c r="H627" s="104">
        <f>SUM(F468)</f>
        <v>15438878.540000001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442806.35000000003</v>
      </c>
      <c r="H628" s="104">
        <f>SUM(G468)</f>
        <v>442806.35000000003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653899.54</v>
      </c>
      <c r="H629" s="104">
        <f>SUM(H468)</f>
        <v>653899.54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101152.85</v>
      </c>
      <c r="H631" s="104">
        <f>SUM(J468)</f>
        <v>101152.85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15671621.84</v>
      </c>
      <c r="H632" s="104">
        <f>SUM(F472)</f>
        <v>15671621.84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653899.54</v>
      </c>
      <c r="H633" s="104">
        <f>SUM(H472)</f>
        <v>653899.54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236631.58</v>
      </c>
      <c r="H634" s="104">
        <f>I369</f>
        <v>236631.58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442289.12</v>
      </c>
      <c r="H635" s="104">
        <f>SUM(G472)</f>
        <v>442289.12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477</v>
      </c>
      <c r="G637" s="150">
        <f>SUM(L408)</f>
        <v>101152.84999999999</v>
      </c>
      <c r="H637" s="163">
        <f>SUM(J468)</f>
        <v>101152.85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478</v>
      </c>
      <c r="G638" s="150">
        <f>SUM(L434)</f>
        <v>124675</v>
      </c>
      <c r="H638" s="163">
        <f>SUM(J472)</f>
        <v>124675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772960.38000000012</v>
      </c>
      <c r="H639" s="104">
        <f>SUM(F461)</f>
        <v>772960.38000000012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772960.38000000012</v>
      </c>
      <c r="H642" s="104">
        <f>SUM(I461)</f>
        <v>772960.38000000012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4003.28</v>
      </c>
      <c r="H644" s="104">
        <f>H408</f>
        <v>4003.2799999999997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97149.57</v>
      </c>
      <c r="H645" s="104">
        <f>G408</f>
        <v>97149.57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101152.85</v>
      </c>
      <c r="H646" s="104">
        <f>L408</f>
        <v>101152.84999999999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391421.6</v>
      </c>
      <c r="H647" s="104">
        <f>L208+L226+L244</f>
        <v>391421.60000000003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264157.36</v>
      </c>
      <c r="H648" s="104">
        <f>(J257+J338)-(J255+J336)</f>
        <v>264157.36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175635.79000000004</v>
      </c>
      <c r="H649" s="104">
        <f>H598</f>
        <v>175635.79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45200.24</v>
      </c>
      <c r="H650" s="104">
        <f>I598</f>
        <v>45200.24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170585.57</v>
      </c>
      <c r="H651" s="104">
        <f>J598</f>
        <v>170585.57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63017.04</v>
      </c>
      <c r="H652" s="104">
        <f>K263+K345</f>
        <v>63017.04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97149.57</v>
      </c>
      <c r="H655" s="104">
        <f>K266+K347</f>
        <v>97149.57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7707529.3500000015</v>
      </c>
      <c r="G660" s="19">
        <f>(L229+L309+L359)</f>
        <v>1888253.9400000002</v>
      </c>
      <c r="H660" s="19">
        <f>(L247+L328+L360)</f>
        <v>6214751.7999999989</v>
      </c>
      <c r="I660" s="19">
        <f>SUM(F660:H660)</f>
        <v>15810535.09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75936.293751359728</v>
      </c>
      <c r="G661" s="19">
        <f>(L359/IF(SUM(L358:L360)=0,1,SUM(L358:L360))*(SUM(G97:G110)))</f>
        <v>0</v>
      </c>
      <c r="H661" s="19">
        <f>(L360/IF(SUM(L358:L360)=0,1,SUM(L358:L360))*(SUM(G97:G110)))</f>
        <v>90755.436248640239</v>
      </c>
      <c r="I661" s="19">
        <f>SUM(F661:H661)</f>
        <v>166691.72999999998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175635.79000000004</v>
      </c>
      <c r="G662" s="19">
        <f>(L226+L306)-(J226+J306)</f>
        <v>45200.24</v>
      </c>
      <c r="H662" s="19">
        <f>(L244+L325)-(J244+J325)</f>
        <v>170585.57</v>
      </c>
      <c r="I662" s="19">
        <f>SUM(F662:H662)</f>
        <v>391421.60000000003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201036.98</v>
      </c>
      <c r="G663" s="198">
        <f>SUM(G575:G587)+SUM(I602:I604)+L612</f>
        <v>20987.9</v>
      </c>
      <c r="H663" s="198">
        <f>SUM(H575:H587)+SUM(J602:J604)+L613</f>
        <v>267738.33999999997</v>
      </c>
      <c r="I663" s="19">
        <f>SUM(F663:H663)</f>
        <v>489763.22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7254920.286248642</v>
      </c>
      <c r="G664" s="19">
        <f>G660-SUM(G661:G663)</f>
        <v>1822065.8000000003</v>
      </c>
      <c r="H664" s="19">
        <f>H660-SUM(H661:H663)</f>
        <v>5685672.4537513591</v>
      </c>
      <c r="I664" s="19">
        <f>I660-SUM(I661:I663)</f>
        <v>14762658.539999999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367.14</v>
      </c>
      <c r="G665" s="247">
        <v>113.42</v>
      </c>
      <c r="H665" s="247">
        <v>218.98</v>
      </c>
      <c r="I665" s="19">
        <f>SUM(F665:H665)</f>
        <v>699.54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19760.64</v>
      </c>
      <c r="G667" s="19">
        <f>ROUND(G664/G665,2)</f>
        <v>16064.77</v>
      </c>
      <c r="H667" s="19">
        <f>ROUND(H664/H665,2)</f>
        <v>25964.35</v>
      </c>
      <c r="I667" s="19">
        <f>ROUND(I664/I665,2)</f>
        <v>21103.38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29.5</v>
      </c>
      <c r="I670" s="19">
        <f>SUM(F670:H670)</f>
        <v>29.5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19760.64</v>
      </c>
      <c r="G672" s="19">
        <f>ROUND((G664+G669)/(G665+G670),2)</f>
        <v>16064.77</v>
      </c>
      <c r="H672" s="19">
        <f>ROUND((H664+H669)/(H665+H670),2)</f>
        <v>22881.81</v>
      </c>
      <c r="I672" s="19">
        <f>ROUND((I664+I669)/(I665+I670),2)</f>
        <v>20249.45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784</v>
      </c>
      <c r="B1" s="231" t="str">
        <f>'DOE25'!A2</f>
        <v>LITTLETON SCHOOL DISTRICT</v>
      </c>
      <c r="C1" s="237" t="s">
        <v>838</v>
      </c>
    </row>
    <row r="2" spans="1:3" x14ac:dyDescent="0.2">
      <c r="A2" s="232"/>
      <c r="B2" s="231"/>
    </row>
    <row r="3" spans="1:3" x14ac:dyDescent="0.2">
      <c r="A3" s="277" t="s">
        <v>783</v>
      </c>
      <c r="B3" s="277"/>
      <c r="C3" s="277"/>
    </row>
    <row r="4" spans="1:3" x14ac:dyDescent="0.2">
      <c r="A4" s="235"/>
      <c r="B4" s="236" t="str">
        <f>'DOE25'!H1</f>
        <v>DOE 25  2016-2017</v>
      </c>
      <c r="C4" s="235"/>
    </row>
    <row r="5" spans="1:3" x14ac:dyDescent="0.2">
      <c r="A5" s="232"/>
      <c r="B5" s="231"/>
    </row>
    <row r="6" spans="1:3" x14ac:dyDescent="0.2">
      <c r="A6" s="226"/>
      <c r="B6" s="276" t="s">
        <v>782</v>
      </c>
      <c r="C6" s="276"/>
    </row>
    <row r="7" spans="1:3" x14ac:dyDescent="0.2">
      <c r="A7" s="238" t="s">
        <v>785</v>
      </c>
      <c r="B7" s="274" t="s">
        <v>781</v>
      </c>
      <c r="C7" s="275"/>
    </row>
    <row r="8" spans="1:3" x14ac:dyDescent="0.2">
      <c r="B8" s="227" t="s">
        <v>54</v>
      </c>
      <c r="C8" s="227" t="s">
        <v>775</v>
      </c>
    </row>
    <row r="9" spans="1:3" x14ac:dyDescent="0.2">
      <c r="A9" s="33" t="s">
        <v>776</v>
      </c>
      <c r="B9" s="228">
        <f>'DOE25'!F197+'DOE25'!F215+'DOE25'!F233+'DOE25'!F276+'DOE25'!F295+'DOE25'!F314</f>
        <v>3545776.8200000003</v>
      </c>
      <c r="C9" s="228">
        <f>'DOE25'!G197+'DOE25'!G215+'DOE25'!G233+'DOE25'!G276+'DOE25'!G295+'DOE25'!G314</f>
        <v>1892630.98</v>
      </c>
    </row>
    <row r="10" spans="1:3" x14ac:dyDescent="0.2">
      <c r="A10" t="s">
        <v>778</v>
      </c>
      <c r="B10" s="239">
        <v>3392195.63</v>
      </c>
      <c r="C10" s="239">
        <v>1847208.13</v>
      </c>
    </row>
    <row r="11" spans="1:3" x14ac:dyDescent="0.2">
      <c r="A11" t="s">
        <v>779</v>
      </c>
      <c r="B11" s="239">
        <v>75080.97</v>
      </c>
      <c r="C11" s="239">
        <v>39417.58</v>
      </c>
    </row>
    <row r="12" spans="1:3" x14ac:dyDescent="0.2">
      <c r="A12" t="s">
        <v>780</v>
      </c>
      <c r="B12" s="239">
        <v>78500.22</v>
      </c>
      <c r="C12" s="239">
        <v>6005.27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3545776.8200000003</v>
      </c>
      <c r="C13" s="230">
        <f>SUM(C10:C12)</f>
        <v>1892630.98</v>
      </c>
    </row>
    <row r="14" spans="1:3" x14ac:dyDescent="0.2">
      <c r="B14" s="229"/>
      <c r="C14" s="229"/>
    </row>
    <row r="15" spans="1:3" x14ac:dyDescent="0.2">
      <c r="B15" s="276" t="s">
        <v>782</v>
      </c>
      <c r="C15" s="276"/>
    </row>
    <row r="16" spans="1:3" x14ac:dyDescent="0.2">
      <c r="A16" s="238" t="s">
        <v>786</v>
      </c>
      <c r="B16" s="274" t="s">
        <v>706</v>
      </c>
      <c r="C16" s="275"/>
    </row>
    <row r="17" spans="1:3" x14ac:dyDescent="0.2">
      <c r="B17" s="227" t="s">
        <v>54</v>
      </c>
      <c r="C17" s="227" t="s">
        <v>775</v>
      </c>
    </row>
    <row r="18" spans="1:3" x14ac:dyDescent="0.2">
      <c r="A18" s="33" t="s">
        <v>776</v>
      </c>
      <c r="B18" s="228">
        <f>'DOE25'!F198+'DOE25'!F216+'DOE25'!F234+'DOE25'!F277+'DOE25'!F296+'DOE25'!F315</f>
        <v>1562085.59</v>
      </c>
      <c r="C18" s="228">
        <f>'DOE25'!G198+'DOE25'!G216+'DOE25'!G234+'DOE25'!G277+'DOE25'!G296+'DOE25'!G315</f>
        <v>840635.09000000008</v>
      </c>
    </row>
    <row r="19" spans="1:3" x14ac:dyDescent="0.2">
      <c r="A19" t="s">
        <v>778</v>
      </c>
      <c r="B19" s="239">
        <v>788518.06</v>
      </c>
      <c r="C19" s="239">
        <v>452533.01</v>
      </c>
    </row>
    <row r="20" spans="1:3" x14ac:dyDescent="0.2">
      <c r="A20" t="s">
        <v>779</v>
      </c>
      <c r="B20" s="239">
        <v>731807.9</v>
      </c>
      <c r="C20" s="239">
        <v>384907.47</v>
      </c>
    </row>
    <row r="21" spans="1:3" x14ac:dyDescent="0.2">
      <c r="A21" t="s">
        <v>780</v>
      </c>
      <c r="B21" s="239">
        <v>41759.629999999997</v>
      </c>
      <c r="C21" s="239">
        <v>3194.61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1562085.5899999999</v>
      </c>
      <c r="C22" s="230">
        <f>SUM(C19:C21)</f>
        <v>840635.09</v>
      </c>
    </row>
    <row r="23" spans="1:3" x14ac:dyDescent="0.2">
      <c r="B23" s="229"/>
      <c r="C23" s="229"/>
    </row>
    <row r="24" spans="1:3" x14ac:dyDescent="0.2">
      <c r="B24" s="276" t="s">
        <v>782</v>
      </c>
      <c r="C24" s="276"/>
    </row>
    <row r="25" spans="1:3" x14ac:dyDescent="0.2">
      <c r="A25" s="238" t="s">
        <v>787</v>
      </c>
      <c r="B25" s="274" t="s">
        <v>707</v>
      </c>
      <c r="C25" s="275"/>
    </row>
    <row r="26" spans="1:3" x14ac:dyDescent="0.2">
      <c r="B26" s="227" t="s">
        <v>54</v>
      </c>
      <c r="C26" s="227" t="s">
        <v>775</v>
      </c>
    </row>
    <row r="27" spans="1:3" x14ac:dyDescent="0.2">
      <c r="A27" s="33" t="s">
        <v>776</v>
      </c>
      <c r="B27" s="233">
        <f>'DOE25'!F199+'DOE25'!F217+'DOE25'!F235+'DOE25'!F278+'DOE25'!F297+'DOE25'!F316</f>
        <v>794701.29</v>
      </c>
      <c r="C27" s="233">
        <f>'DOE25'!G199+'DOE25'!G217+'DOE25'!G235+'DOE25'!G278+'DOE25'!G297+'DOE25'!G316</f>
        <v>377901.83</v>
      </c>
    </row>
    <row r="28" spans="1:3" x14ac:dyDescent="0.2">
      <c r="A28" t="s">
        <v>778</v>
      </c>
      <c r="B28" s="239">
        <v>749824.87</v>
      </c>
      <c r="C28" s="239">
        <v>353029.85</v>
      </c>
    </row>
    <row r="29" spans="1:3" x14ac:dyDescent="0.2">
      <c r="A29" t="s">
        <v>779</v>
      </c>
      <c r="B29" s="239">
        <v>44876.42</v>
      </c>
      <c r="C29" s="239">
        <v>24871.98</v>
      </c>
    </row>
    <row r="30" spans="1:3" x14ac:dyDescent="0.2">
      <c r="A30" t="s">
        <v>780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794701.29</v>
      </c>
      <c r="C31" s="230">
        <f>SUM(C28:C30)</f>
        <v>377901.82999999996</v>
      </c>
    </row>
    <row r="33" spans="1:3" x14ac:dyDescent="0.2">
      <c r="B33" s="276" t="s">
        <v>782</v>
      </c>
      <c r="C33" s="276"/>
    </row>
    <row r="34" spans="1:3" x14ac:dyDescent="0.2">
      <c r="A34" s="238" t="s">
        <v>788</v>
      </c>
      <c r="B34" s="274" t="s">
        <v>708</v>
      </c>
      <c r="C34" s="275"/>
    </row>
    <row r="35" spans="1:3" x14ac:dyDescent="0.2">
      <c r="B35" s="227" t="s">
        <v>54</v>
      </c>
      <c r="C35" s="227" t="s">
        <v>775</v>
      </c>
    </row>
    <row r="36" spans="1:3" x14ac:dyDescent="0.2">
      <c r="A36" s="33" t="s">
        <v>776</v>
      </c>
      <c r="B36" s="234">
        <f>'DOE25'!F200+'DOE25'!F218+'DOE25'!F236+'DOE25'!F279+'DOE25'!F298+'DOE25'!F317</f>
        <v>131634.77000000002</v>
      </c>
      <c r="C36" s="234">
        <f>'DOE25'!G200+'DOE25'!G218+'DOE25'!G236+'DOE25'!G279+'DOE25'!G298+'DOE25'!G317</f>
        <v>24880.59</v>
      </c>
    </row>
    <row r="37" spans="1:3" x14ac:dyDescent="0.2">
      <c r="A37" t="s">
        <v>778</v>
      </c>
      <c r="B37" s="239">
        <v>0</v>
      </c>
      <c r="C37" s="239">
        <v>0</v>
      </c>
    </row>
    <row r="38" spans="1:3" x14ac:dyDescent="0.2">
      <c r="A38" t="s">
        <v>779</v>
      </c>
      <c r="B38" s="239">
        <v>0</v>
      </c>
      <c r="C38" s="239">
        <v>0</v>
      </c>
    </row>
    <row r="39" spans="1:3" x14ac:dyDescent="0.2">
      <c r="A39" t="s">
        <v>780</v>
      </c>
      <c r="B39" s="239">
        <v>131634.76999999999</v>
      </c>
      <c r="C39" s="239">
        <v>24880.59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131634.76999999999</v>
      </c>
      <c r="C40" s="230">
        <f>SUM(C37:C39)</f>
        <v>24880.59</v>
      </c>
    </row>
    <row r="41" spans="1:3" x14ac:dyDescent="0.2">
      <c r="B41" s="229"/>
      <c r="C41" s="229"/>
    </row>
    <row r="42" spans="1:3" x14ac:dyDescent="0.2">
      <c r="A42" s="33" t="s">
        <v>836</v>
      </c>
      <c r="B42" s="229"/>
      <c r="C42" s="229"/>
    </row>
    <row r="43" spans="1:3" x14ac:dyDescent="0.2">
      <c r="A43" t="s">
        <v>840</v>
      </c>
      <c r="B43" s="229"/>
      <c r="C43" s="229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15" zoomScaleNormal="115" workbookViewId="0">
      <pane ySplit="4" topLeftCell="A5" activePane="bottomLeft" state="frozen"/>
      <selection activeCell="F46" sqref="F46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789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716</v>
      </c>
      <c r="B2" s="264" t="str">
        <f>'DOE25'!A2</f>
        <v>LITTLETON SCHOOL DISTRICT</v>
      </c>
      <c r="C2" s="180"/>
      <c r="D2" s="180" t="s">
        <v>791</v>
      </c>
      <c r="E2" s="180" t="s">
        <v>793</v>
      </c>
      <c r="F2" s="278" t="s">
        <v>820</v>
      </c>
      <c r="G2" s="279"/>
      <c r="H2" s="28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792</v>
      </c>
      <c r="E3" s="180" t="s">
        <v>794</v>
      </c>
      <c r="F3" s="240" t="s">
        <v>834</v>
      </c>
      <c r="G3" s="216" t="s">
        <v>59</v>
      </c>
      <c r="H3" s="241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4">
        <f t="shared" ref="C5:C19" si="0">SUM(D5:H5)</f>
        <v>9275186.0300000012</v>
      </c>
      <c r="D5" s="20">
        <f>SUM('DOE25'!L197:L200)+SUM('DOE25'!L215:L218)+SUM('DOE25'!L233:L236)-F5-G5</f>
        <v>9187099.1800000016</v>
      </c>
      <c r="E5" s="242"/>
      <c r="F5" s="254">
        <f>SUM('DOE25'!J197:J200)+SUM('DOE25'!J215:J218)+SUM('DOE25'!J233:J236)</f>
        <v>58465.760000000002</v>
      </c>
      <c r="G5" s="53">
        <f>SUM('DOE25'!K197:K200)+SUM('DOE25'!K215:K218)+SUM('DOE25'!K233:K236)</f>
        <v>29621.089999999997</v>
      </c>
      <c r="H5" s="258"/>
    </row>
    <row r="6" spans="1:9" x14ac:dyDescent="0.2">
      <c r="A6" s="32">
        <v>2100</v>
      </c>
      <c r="B6" t="s">
        <v>800</v>
      </c>
      <c r="C6" s="244">
        <f t="shared" si="0"/>
        <v>1133816.93</v>
      </c>
      <c r="D6" s="20">
        <f>'DOE25'!L202+'DOE25'!L220+'DOE25'!L238-F6-G6</f>
        <v>1122887.0799999998</v>
      </c>
      <c r="E6" s="242"/>
      <c r="F6" s="254">
        <f>'DOE25'!J202+'DOE25'!J220+'DOE25'!J238</f>
        <v>4785.0599999999995</v>
      </c>
      <c r="G6" s="53">
        <f>'DOE25'!K202+'DOE25'!K220+'DOE25'!K238</f>
        <v>6144.79</v>
      </c>
      <c r="H6" s="258"/>
    </row>
    <row r="7" spans="1:9" x14ac:dyDescent="0.2">
      <c r="A7" s="32">
        <v>2200</v>
      </c>
      <c r="B7" t="s">
        <v>833</v>
      </c>
      <c r="C7" s="244">
        <f t="shared" si="0"/>
        <v>364777.88</v>
      </c>
      <c r="D7" s="20">
        <f>'DOE25'!L203+'DOE25'!L221+'DOE25'!L239-F7-G7</f>
        <v>342639.49</v>
      </c>
      <c r="E7" s="242"/>
      <c r="F7" s="254">
        <f>'DOE25'!J203+'DOE25'!J221+'DOE25'!J239</f>
        <v>398.43</v>
      </c>
      <c r="G7" s="53">
        <f>'DOE25'!K203+'DOE25'!K221+'DOE25'!K239</f>
        <v>21739.96</v>
      </c>
      <c r="H7" s="258"/>
    </row>
    <row r="8" spans="1:9" x14ac:dyDescent="0.2">
      <c r="A8" s="32">
        <v>2300</v>
      </c>
      <c r="B8" t="s">
        <v>801</v>
      </c>
      <c r="C8" s="244">
        <f t="shared" si="0"/>
        <v>37786.730000000003</v>
      </c>
      <c r="D8" s="242"/>
      <c r="E8" s="20">
        <f>'DOE25'!L204+'DOE25'!L222+'DOE25'!L240-F8-G8-D9-D11</f>
        <v>16210.5</v>
      </c>
      <c r="F8" s="254">
        <f>'DOE25'!J204+'DOE25'!J222+'DOE25'!J240</f>
        <v>649.99</v>
      </c>
      <c r="G8" s="53">
        <f>'DOE25'!K204+'DOE25'!K222+'DOE25'!K240</f>
        <v>20926.240000000002</v>
      </c>
      <c r="H8" s="258"/>
    </row>
    <row r="9" spans="1:9" x14ac:dyDescent="0.2">
      <c r="A9" s="32">
        <v>2310</v>
      </c>
      <c r="B9" t="s">
        <v>817</v>
      </c>
      <c r="C9" s="244">
        <f t="shared" si="0"/>
        <v>109157.05</v>
      </c>
      <c r="D9" s="243">
        <v>109157.05</v>
      </c>
      <c r="E9" s="242"/>
      <c r="F9" s="257"/>
      <c r="G9" s="255"/>
      <c r="H9" s="258"/>
    </row>
    <row r="10" spans="1:9" x14ac:dyDescent="0.2">
      <c r="A10" s="32">
        <v>2317</v>
      </c>
      <c r="B10" t="s">
        <v>818</v>
      </c>
      <c r="C10" s="244">
        <f t="shared" si="0"/>
        <v>16210.5</v>
      </c>
      <c r="D10" s="242"/>
      <c r="E10" s="243">
        <v>16210.5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4">
        <f t="shared" si="0"/>
        <v>469775.34</v>
      </c>
      <c r="D11" s="243">
        <v>469775.34</v>
      </c>
      <c r="E11" s="242"/>
      <c r="F11" s="257"/>
      <c r="G11" s="255"/>
      <c r="H11" s="258"/>
    </row>
    <row r="12" spans="1:9" x14ac:dyDescent="0.2">
      <c r="A12" s="32">
        <v>2400</v>
      </c>
      <c r="B12" t="s">
        <v>714</v>
      </c>
      <c r="C12" s="244">
        <f t="shared" si="0"/>
        <v>822534.29</v>
      </c>
      <c r="D12" s="20">
        <f>'DOE25'!L205+'DOE25'!L223+'DOE25'!L241-F12-G12</f>
        <v>790396.30999999994</v>
      </c>
      <c r="E12" s="242"/>
      <c r="F12" s="254">
        <f>'DOE25'!J205+'DOE25'!J223+'DOE25'!J241</f>
        <v>6459.5599999999995</v>
      </c>
      <c r="G12" s="53">
        <f>'DOE25'!K205+'DOE25'!K223+'DOE25'!K241</f>
        <v>25678.42</v>
      </c>
      <c r="H12" s="258"/>
    </row>
    <row r="13" spans="1:9" x14ac:dyDescent="0.2">
      <c r="A13" s="32">
        <v>2500</v>
      </c>
      <c r="B13" t="s">
        <v>802</v>
      </c>
      <c r="C13" s="244">
        <f t="shared" si="0"/>
        <v>173022.34</v>
      </c>
      <c r="D13" s="242"/>
      <c r="E13" s="20">
        <f>'DOE25'!L206+'DOE25'!L224+'DOE25'!L242-F13-G13</f>
        <v>167384.99</v>
      </c>
      <c r="F13" s="254">
        <f>'DOE25'!J206+'DOE25'!J224+'DOE25'!J242</f>
        <v>4574.8500000000004</v>
      </c>
      <c r="G13" s="53">
        <f>'DOE25'!K206+'DOE25'!K224+'DOE25'!K242</f>
        <v>1062.5</v>
      </c>
      <c r="H13" s="258"/>
    </row>
    <row r="14" spans="1:9" x14ac:dyDescent="0.2">
      <c r="A14" s="32">
        <v>2600</v>
      </c>
      <c r="B14" t="s">
        <v>831</v>
      </c>
      <c r="C14" s="244">
        <f t="shared" si="0"/>
        <v>1512136.3700000003</v>
      </c>
      <c r="D14" s="20">
        <f>'DOE25'!L207+'DOE25'!L225+'DOE25'!L243-F14-G14</f>
        <v>1419305.6000000003</v>
      </c>
      <c r="E14" s="242"/>
      <c r="F14" s="254">
        <f>'DOE25'!J207+'DOE25'!J225+'DOE25'!J243</f>
        <v>90579.13</v>
      </c>
      <c r="G14" s="53">
        <f>'DOE25'!K207+'DOE25'!K225+'DOE25'!K243</f>
        <v>2251.64</v>
      </c>
      <c r="H14" s="258"/>
    </row>
    <row r="15" spans="1:9" x14ac:dyDescent="0.2">
      <c r="A15" s="32">
        <v>2700</v>
      </c>
      <c r="B15" t="s">
        <v>803</v>
      </c>
      <c r="C15" s="244">
        <f t="shared" si="0"/>
        <v>391421.60000000003</v>
      </c>
      <c r="D15" s="20">
        <f>'DOE25'!L208+'DOE25'!L226+'DOE25'!L244-F15-G15</f>
        <v>391421.60000000003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4">
        <f t="shared" si="0"/>
        <v>435721.6700000001</v>
      </c>
      <c r="D16" s="242"/>
      <c r="E16" s="20">
        <f>'DOE25'!L209+'DOE25'!L227+'DOE25'!L245-F16-G16</f>
        <v>359605.4200000001</v>
      </c>
      <c r="F16" s="254">
        <f>'DOE25'!J209+'DOE25'!J227+'DOE25'!J245</f>
        <v>75739.709999999992</v>
      </c>
      <c r="G16" s="53">
        <f>'DOE25'!K209+'DOE25'!K227+'DOE25'!K245</f>
        <v>376.54</v>
      </c>
      <c r="H16" s="258"/>
    </row>
    <row r="17" spans="1:8" x14ac:dyDescent="0.2">
      <c r="A17" s="32">
        <v>1600</v>
      </c>
      <c r="B17" t="s">
        <v>805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4">
        <f>SUM(D25:H25)</f>
        <v>786119</v>
      </c>
      <c r="D25" s="242"/>
      <c r="E25" s="242"/>
      <c r="F25" s="257"/>
      <c r="G25" s="255"/>
      <c r="H25" s="256">
        <f>'DOE25'!L260+'DOE25'!L261+'DOE25'!L341+'DOE25'!L342</f>
        <v>786119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4">
        <f>SUM(D29:H29)</f>
        <v>232574.12</v>
      </c>
      <c r="D29" s="20">
        <f>'DOE25'!L358+'DOE25'!L359+'DOE25'!L360-'DOE25'!I367-F29-G29</f>
        <v>232574.12</v>
      </c>
      <c r="E29" s="242"/>
      <c r="F29" s="254">
        <f>'DOE25'!J358+'DOE25'!J359+'DOE25'!J360</f>
        <v>0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4">
        <f>SUM(D31:H31)</f>
        <v>642909.74</v>
      </c>
      <c r="D31" s="20">
        <f>'DOE25'!L290+'DOE25'!L309+'DOE25'!L328+'DOE25'!L333+'DOE25'!L334+'DOE25'!L335-F31-G31</f>
        <v>605046.63</v>
      </c>
      <c r="E31" s="242"/>
      <c r="F31" s="254">
        <f>'DOE25'!J290+'DOE25'!J309+'DOE25'!J328+'DOE25'!J333+'DOE25'!J334+'DOE25'!J335</f>
        <v>22504.870000000003</v>
      </c>
      <c r="G31" s="53">
        <f>'DOE25'!K290+'DOE25'!K309+'DOE25'!K328+'DOE25'!K333+'DOE25'!K334+'DOE25'!K335</f>
        <v>15358.24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5">
        <f>SUM(D5:D31)</f>
        <v>14670302.400000002</v>
      </c>
      <c r="E33" s="245">
        <f>SUM(E5:E31)</f>
        <v>559411.41000000015</v>
      </c>
      <c r="F33" s="245">
        <f>SUM(F5:F31)</f>
        <v>264157.36000000004</v>
      </c>
      <c r="G33" s="245">
        <f>SUM(G5:G31)</f>
        <v>123159.42</v>
      </c>
      <c r="H33" s="245">
        <f>SUM(H5:H31)</f>
        <v>786119</v>
      </c>
    </row>
    <row r="35" spans="2:8" ht="12" thickBot="1" x14ac:dyDescent="0.25">
      <c r="B35" s="252" t="s">
        <v>846</v>
      </c>
      <c r="D35" s="253">
        <f>E33</f>
        <v>559411.41000000015</v>
      </c>
      <c r="E35" s="248"/>
    </row>
    <row r="36" spans="2:8" ht="12" thickTop="1" x14ac:dyDescent="0.2">
      <c r="B36" t="s">
        <v>814</v>
      </c>
      <c r="D36" s="20">
        <f>D33</f>
        <v>14670302.400000002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823</v>
      </c>
      <c r="D39" s="180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LITTLETON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63800.43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772960.38000000012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264658.7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222949.30000000002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144855.10999999999</v>
      </c>
      <c r="D12" s="95">
        <f>'DOE25'!G13</f>
        <v>10181.34</v>
      </c>
      <c r="E12" s="95">
        <f>'DOE25'!H13</f>
        <v>21243.040000000001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-2431.35</v>
      </c>
      <c r="D13" s="95">
        <f>'DOE25'!G14</f>
        <v>14820.43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4151.99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693832.19000000006</v>
      </c>
      <c r="D18" s="41">
        <f>SUM(D8:D17)</f>
        <v>29153.760000000002</v>
      </c>
      <c r="E18" s="41">
        <f>SUM(E8:E17)</f>
        <v>21243.040000000001</v>
      </c>
      <c r="F18" s="41">
        <f>SUM(F8:F17)</f>
        <v>0</v>
      </c>
      <c r="G18" s="41">
        <f>SUM(G8:G17)</f>
        <v>772960.38000000012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788.51</v>
      </c>
      <c r="E21" s="95">
        <f>'DOE25'!H22</f>
        <v>19068.090000000026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85862.8</v>
      </c>
      <c r="D23" s="95">
        <f>'DOE25'!G24</f>
        <v>24213.26</v>
      </c>
      <c r="E23" s="95">
        <f>'DOE25'!H24</f>
        <v>1906.84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268.11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66477.89999999998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62038.76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214379.46</v>
      </c>
      <c r="D31" s="41">
        <f>SUM(D21:D30)</f>
        <v>25001.769999999997</v>
      </c>
      <c r="E31" s="41">
        <f>SUM(E21:E30)</f>
        <v>21243.040000000026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4151.99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80000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10074.629999999999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772960.38000000012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389378.10000000009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479452.7300000001</v>
      </c>
      <c r="D50" s="41">
        <f>SUM(D34:D49)</f>
        <v>4151.99</v>
      </c>
      <c r="E50" s="41">
        <f>SUM(E34:E49)</f>
        <v>0</v>
      </c>
      <c r="F50" s="41">
        <f>SUM(F34:F49)</f>
        <v>0</v>
      </c>
      <c r="G50" s="41">
        <f>SUM(G34:G49)</f>
        <v>772960.38000000012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693832.19000000006</v>
      </c>
      <c r="D51" s="41">
        <f>D50+D31</f>
        <v>29153.759999999995</v>
      </c>
      <c r="E51" s="41">
        <f>E50+E31</f>
        <v>21243.040000000026</v>
      </c>
      <c r="F51" s="41">
        <f>F50+F31</f>
        <v>0</v>
      </c>
      <c r="G51" s="41">
        <f>G50+G31</f>
        <v>772960.38000000012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9608927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263288.12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6393.05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4003.28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98713.39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79969.919999999998</v>
      </c>
      <c r="D61" s="95">
        <f>SUM('DOE25'!G98:G110)</f>
        <v>67978.34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349651.08999999997</v>
      </c>
      <c r="D62" s="130">
        <f>SUM(D57:D61)</f>
        <v>166691.72999999998</v>
      </c>
      <c r="E62" s="130">
        <f>SUM(E57:E61)</f>
        <v>0</v>
      </c>
      <c r="F62" s="130">
        <f>SUM(F57:F61)</f>
        <v>0</v>
      </c>
      <c r="G62" s="130">
        <f>SUM(G57:G61)</f>
        <v>4003.28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9958578.0899999999</v>
      </c>
      <c r="D63" s="22">
        <f>D56+D62</f>
        <v>166691.72999999998</v>
      </c>
      <c r="E63" s="22">
        <f>E56+E62</f>
        <v>0</v>
      </c>
      <c r="F63" s="22">
        <f>F56+F62</f>
        <v>0</v>
      </c>
      <c r="G63" s="22">
        <f>G56+G62</f>
        <v>4003.28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3475602.31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1198046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4673648.3100000005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208806.94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290229.26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10325.67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499036.2</v>
      </c>
      <c r="D78" s="130">
        <f>SUM(D72:D77)</f>
        <v>10325.67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5172684.5100000007</v>
      </c>
      <c r="D81" s="130">
        <f>SUM(D79:D80)+D78+D70</f>
        <v>10325.67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137070.93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43281.17</v>
      </c>
      <c r="D88" s="95">
        <f>SUM('DOE25'!G153:G161)</f>
        <v>202771.91000000003</v>
      </c>
      <c r="E88" s="95">
        <f>SUM('DOE25'!H153:H161)</f>
        <v>653899.54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1477.39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181829.49</v>
      </c>
      <c r="D91" s="131">
        <f>SUM(D85:D90)</f>
        <v>202771.91000000003</v>
      </c>
      <c r="E91" s="131">
        <f>SUM(E85:E90)</f>
        <v>653899.54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63017.04</v>
      </c>
      <c r="E96" s="95">
        <f>'DOE25'!H179</f>
        <v>0</v>
      </c>
      <c r="F96" s="95">
        <f>'DOE25'!I179</f>
        <v>0</v>
      </c>
      <c r="G96" s="95">
        <f>'DOE25'!J179</f>
        <v>97149.57</v>
      </c>
    </row>
    <row r="97" spans="1:7" x14ac:dyDescent="0.2">
      <c r="A97" t="s">
        <v>757</v>
      </c>
      <c r="B97" s="32" t="s">
        <v>188</v>
      </c>
      <c r="C97" s="95">
        <f>SUM('DOE25'!F180:F181)</f>
        <v>1111.45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124675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125786.45</v>
      </c>
      <c r="D103" s="86">
        <f>SUM(D93:D102)</f>
        <v>63017.04</v>
      </c>
      <c r="E103" s="86">
        <f>SUM(E93:E102)</f>
        <v>0</v>
      </c>
      <c r="F103" s="86">
        <f>SUM(F93:F102)</f>
        <v>0</v>
      </c>
      <c r="G103" s="86">
        <f>SUM(G93:G102)</f>
        <v>97149.57</v>
      </c>
    </row>
    <row r="104" spans="1:7" ht="12.75" thickTop="1" thickBot="1" x14ac:dyDescent="0.25">
      <c r="A104" s="33" t="s">
        <v>764</v>
      </c>
      <c r="C104" s="86">
        <f>C63+C81+C91+C103</f>
        <v>15438878.540000001</v>
      </c>
      <c r="D104" s="86">
        <f>D63+D81+D91+D103</f>
        <v>442806.35000000003</v>
      </c>
      <c r="E104" s="86">
        <f>E63+E81+E91+E103</f>
        <v>653899.54</v>
      </c>
      <c r="F104" s="86">
        <f>F63+F81+F91+F103</f>
        <v>0</v>
      </c>
      <c r="G104" s="86">
        <f>G63+G81+G103</f>
        <v>101152.85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5331617.12</v>
      </c>
      <c r="D109" s="24" t="s">
        <v>288</v>
      </c>
      <c r="E109" s="95">
        <f>('DOE25'!L276)+('DOE25'!L295)+('DOE25'!L314)</f>
        <v>311648.17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2471876.48</v>
      </c>
      <c r="D110" s="24" t="s">
        <v>288</v>
      </c>
      <c r="E110" s="95">
        <f>('DOE25'!L277)+('DOE25'!L296)+('DOE25'!L315)</f>
        <v>157735.95000000001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1238599.0799999996</v>
      </c>
      <c r="D111" s="24" t="s">
        <v>288</v>
      </c>
      <c r="E111" s="95">
        <f>('DOE25'!L278)+('DOE25'!L297)+('DOE25'!L316)</f>
        <v>41319.979999999996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233093.35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9275186.0299999993</v>
      </c>
      <c r="D115" s="86">
        <f>SUM(D109:D114)</f>
        <v>0</v>
      </c>
      <c r="E115" s="86">
        <f>SUM(E109:E114)</f>
        <v>510704.1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1133816.93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364777.88</v>
      </c>
      <c r="D119" s="24" t="s">
        <v>288</v>
      </c>
      <c r="E119" s="95">
        <f>+('DOE25'!L282)+('DOE25'!L301)+('DOE25'!L320)</f>
        <v>121558.79000000001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616719.12</v>
      </c>
      <c r="D120" s="24" t="s">
        <v>288</v>
      </c>
      <c r="E120" s="95">
        <f>+('DOE25'!L283)+('DOE25'!L302)+('DOE25'!L321)</f>
        <v>10646.85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822534.29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173022.34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1512136.37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391421.60000000003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435721.67000000004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442289.12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5450150.1999999993</v>
      </c>
      <c r="D128" s="86">
        <f>SUM(D118:D127)</f>
        <v>442289.12</v>
      </c>
      <c r="E128" s="86">
        <f>SUM(E118:E127)</f>
        <v>132205.64000000001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560000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226119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10989.8</v>
      </c>
      <c r="F134" s="95">
        <f>'DOE25'!K381</f>
        <v>0</v>
      </c>
      <c r="G134" s="95">
        <f>'DOE25'!K434</f>
        <v>124675</v>
      </c>
    </row>
    <row r="135" spans="1:7" x14ac:dyDescent="0.2">
      <c r="A135" t="s">
        <v>233</v>
      </c>
      <c r="B135" s="32" t="s">
        <v>234</v>
      </c>
      <c r="C135" s="95">
        <f>'DOE25'!L263</f>
        <v>63017.04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101152.84999999999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-4003.2799999999843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946285.61</v>
      </c>
      <c r="D144" s="141">
        <f>SUM(D130:D143)</f>
        <v>0</v>
      </c>
      <c r="E144" s="141">
        <f>SUM(E130:E143)</f>
        <v>10989.8</v>
      </c>
      <c r="F144" s="141">
        <f>SUM(F130:F143)</f>
        <v>0</v>
      </c>
      <c r="G144" s="141">
        <f>SUM(G130:G143)</f>
        <v>124675</v>
      </c>
    </row>
    <row r="145" spans="1:9" ht="12.75" thickTop="1" thickBot="1" x14ac:dyDescent="0.25">
      <c r="A145" s="33" t="s">
        <v>244</v>
      </c>
      <c r="C145" s="86">
        <f>(C115+C128+C144)</f>
        <v>15671621.839999998</v>
      </c>
      <c r="D145" s="86">
        <f>(D115+D128+D144)</f>
        <v>442289.12</v>
      </c>
      <c r="E145" s="86">
        <f>(E115+E128+E144)</f>
        <v>653899.54</v>
      </c>
      <c r="F145" s="86">
        <f>(F115+F128+F144)</f>
        <v>0</v>
      </c>
      <c r="G145" s="86">
        <f>(G115+G128+G144)</f>
        <v>124675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2">
        <f>'DOE25'!F490</f>
        <v>20</v>
      </c>
      <c r="C151" s="152">
        <f>'DOE25'!G490</f>
        <v>17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288</v>
      </c>
    </row>
    <row r="152" spans="1:9" x14ac:dyDescent="0.2">
      <c r="A152" s="136" t="s">
        <v>28</v>
      </c>
      <c r="B152" s="151" t="str">
        <f>'DOE25'!F491</f>
        <v>08/02</v>
      </c>
      <c r="C152" s="151" t="str">
        <f>'DOE25'!G491</f>
        <v>06/10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288</v>
      </c>
    </row>
    <row r="153" spans="1:9" x14ac:dyDescent="0.2">
      <c r="A153" s="136" t="s">
        <v>29</v>
      </c>
      <c r="B153" s="151" t="str">
        <f>'DOE25'!F492</f>
        <v>08/22</v>
      </c>
      <c r="C153" s="151" t="str">
        <f>'DOE25'!G492</f>
        <v>03/27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6000000</v>
      </c>
      <c r="C154" s="137">
        <f>'DOE25'!G493</f>
        <v>4160640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3.9</v>
      </c>
      <c r="C155" s="137">
        <f>'DOE25'!G494</f>
        <v>5.39</v>
      </c>
      <c r="D155" s="137" t="str">
        <f>'DOE25'!H494</f>
        <v>before Fed reimbursement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2100000</v>
      </c>
      <c r="C156" s="137">
        <f>'DOE25'!G495</f>
        <v>2860000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4960000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300000</v>
      </c>
      <c r="C158" s="137">
        <f>'DOE25'!G497</f>
        <v>260000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560000</v>
      </c>
    </row>
    <row r="159" spans="1:9" x14ac:dyDescent="0.2">
      <c r="A159" s="22" t="s">
        <v>35</v>
      </c>
      <c r="B159" s="137">
        <f>'DOE25'!F498</f>
        <v>1800000</v>
      </c>
      <c r="C159" s="137">
        <f>'DOE25'!G498</f>
        <v>2600000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4400000</v>
      </c>
    </row>
    <row r="160" spans="1:9" x14ac:dyDescent="0.2">
      <c r="A160" s="22" t="s">
        <v>36</v>
      </c>
      <c r="B160" s="137">
        <f>'DOE25'!F499</f>
        <v>151047</v>
      </c>
      <c r="C160" s="137">
        <f>'DOE25'!G499</f>
        <v>700700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851747</v>
      </c>
    </row>
    <row r="161" spans="1:7" x14ac:dyDescent="0.2">
      <c r="A161" s="22" t="s">
        <v>37</v>
      </c>
      <c r="B161" s="137">
        <f>'DOE25'!F500</f>
        <v>1951047</v>
      </c>
      <c r="C161" s="137">
        <f>'DOE25'!G500</f>
        <v>3300700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5251747</v>
      </c>
    </row>
    <row r="162" spans="1:7" x14ac:dyDescent="0.2">
      <c r="A162" s="22" t="s">
        <v>38</v>
      </c>
      <c r="B162" s="137">
        <f>'DOE25'!F501</f>
        <v>300000</v>
      </c>
      <c r="C162" s="137">
        <f>'DOE25'!G501</f>
        <v>260000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560000</v>
      </c>
    </row>
    <row r="163" spans="1:7" x14ac:dyDescent="0.2">
      <c r="A163" s="22" t="s">
        <v>39</v>
      </c>
      <c r="B163" s="137">
        <f>'DOE25'!F502</f>
        <v>66222</v>
      </c>
      <c r="C163" s="137">
        <f>'DOE25'!G502</f>
        <v>133133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199355</v>
      </c>
    </row>
    <row r="164" spans="1:7" x14ac:dyDescent="0.2">
      <c r="A164" s="22" t="s">
        <v>246</v>
      </c>
      <c r="B164" s="137">
        <f>'DOE25'!F503</f>
        <v>366222</v>
      </c>
      <c r="C164" s="137">
        <f>'DOE25'!G503</f>
        <v>393133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759355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9" sqref="C4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739</v>
      </c>
      <c r="B1" s="282"/>
      <c r="C1" s="282"/>
      <c r="D1" s="282"/>
    </row>
    <row r="2" spans="1:4" x14ac:dyDescent="0.2">
      <c r="A2" s="186" t="s">
        <v>716</v>
      </c>
      <c r="B2" s="185" t="str">
        <f>'DOE25'!A2</f>
        <v>LITTLETON SCHOOL DISTRICT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19761</v>
      </c>
    </row>
    <row r="5" spans="1:4" x14ac:dyDescent="0.2">
      <c r="B5" t="s">
        <v>703</v>
      </c>
      <c r="C5" s="178">
        <f>IF('DOE25'!G665+'DOE25'!G670=0,0,ROUND('DOE25'!G672,0))</f>
        <v>16065</v>
      </c>
    </row>
    <row r="6" spans="1:4" x14ac:dyDescent="0.2">
      <c r="B6" t="s">
        <v>62</v>
      </c>
      <c r="C6" s="178">
        <f>IF('DOE25'!H665+'DOE25'!H670=0,0,ROUND('DOE25'!H672,0))</f>
        <v>22882</v>
      </c>
    </row>
    <row r="7" spans="1:4" x14ac:dyDescent="0.2">
      <c r="B7" t="s">
        <v>704</v>
      </c>
      <c r="C7" s="178">
        <f>IF('DOE25'!I665+'DOE25'!I670=0,0,ROUND('DOE25'!I672,0))</f>
        <v>20249</v>
      </c>
    </row>
    <row r="9" spans="1:4" x14ac:dyDescent="0.2">
      <c r="A9" s="186" t="s">
        <v>94</v>
      </c>
      <c r="B9" s="187" t="s">
        <v>909</v>
      </c>
      <c r="C9" s="180" t="s">
        <v>723</v>
      </c>
      <c r="D9" s="180" t="s">
        <v>724</v>
      </c>
    </row>
    <row r="10" spans="1:4" x14ac:dyDescent="0.2">
      <c r="A10">
        <v>1100</v>
      </c>
      <c r="B10" t="s">
        <v>705</v>
      </c>
      <c r="C10" s="178">
        <f>ROUND('DOE25'!L197+'DOE25'!L215+'DOE25'!L233+'DOE25'!L276+'DOE25'!L295+'DOE25'!L314,0)</f>
        <v>5643265</v>
      </c>
      <c r="D10" s="181">
        <f>ROUND((C10/$C$28)*100,1)</f>
        <v>35.6</v>
      </c>
    </row>
    <row r="11" spans="1:4" x14ac:dyDescent="0.2">
      <c r="A11">
        <v>1200</v>
      </c>
      <c r="B11" t="s">
        <v>706</v>
      </c>
      <c r="C11" s="178">
        <f>ROUND('DOE25'!L198+'DOE25'!L216+'DOE25'!L234+'DOE25'!L277+'DOE25'!L296+'DOE25'!L315,0)</f>
        <v>2629612</v>
      </c>
      <c r="D11" s="181">
        <f>ROUND((C11/$C$28)*100,1)</f>
        <v>16.600000000000001</v>
      </c>
    </row>
    <row r="12" spans="1:4" x14ac:dyDescent="0.2">
      <c r="A12">
        <v>1300</v>
      </c>
      <c r="B12" t="s">
        <v>707</v>
      </c>
      <c r="C12" s="178">
        <f>ROUND('DOE25'!L199+'DOE25'!L217+'DOE25'!L235+'DOE25'!L278+'DOE25'!L297+'DOE25'!L316,0)</f>
        <v>1279919</v>
      </c>
      <c r="D12" s="181">
        <f>ROUND((C12/$C$28)*100,1)</f>
        <v>8.1</v>
      </c>
    </row>
    <row r="13" spans="1:4" x14ac:dyDescent="0.2">
      <c r="A13">
        <v>1400</v>
      </c>
      <c r="B13" t="s">
        <v>708</v>
      </c>
      <c r="C13" s="178">
        <f>ROUND('DOE25'!L200+'DOE25'!L218+'DOE25'!L236+'DOE25'!L279+'DOE25'!L298+'DOE25'!L317,0)</f>
        <v>233093</v>
      </c>
      <c r="D13" s="181">
        <f>ROUND((C13/$C$28)*100,1)</f>
        <v>1.5</v>
      </c>
    </row>
    <row r="14" spans="1:4" x14ac:dyDescent="0.2">
      <c r="D14" s="181"/>
    </row>
    <row r="15" spans="1:4" x14ac:dyDescent="0.2">
      <c r="A15">
        <v>2100</v>
      </c>
      <c r="B15" t="s">
        <v>709</v>
      </c>
      <c r="C15" s="178">
        <f>ROUND('DOE25'!L202+'DOE25'!L220+'DOE25'!L238+'DOE25'!L281+'DOE25'!L300+'DOE25'!L319,0)</f>
        <v>1133817</v>
      </c>
      <c r="D15" s="181">
        <f t="shared" ref="D15:D27" si="0">ROUND((C15/$C$28)*100,1)</f>
        <v>7.1</v>
      </c>
    </row>
    <row r="16" spans="1:4" x14ac:dyDescent="0.2">
      <c r="A16">
        <v>2200</v>
      </c>
      <c r="B16" t="s">
        <v>710</v>
      </c>
      <c r="C16" s="178">
        <f>ROUND('DOE25'!L203+'DOE25'!L221+'DOE25'!L239+'DOE25'!L282+'DOE25'!L301+'DOE25'!L320,0)</f>
        <v>486337</v>
      </c>
      <c r="D16" s="181">
        <f t="shared" si="0"/>
        <v>3.1</v>
      </c>
    </row>
    <row r="17" spans="1:4" x14ac:dyDescent="0.2">
      <c r="A17" s="182" t="s">
        <v>726</v>
      </c>
      <c r="B17" t="s">
        <v>741</v>
      </c>
      <c r="C17" s="178">
        <f>ROUND('DOE25'!L204+'DOE25'!L209+'DOE25'!L222+'DOE25'!L227+'DOE25'!L240+'DOE25'!L245+'DOE25'!L283+'DOE25'!L288+'DOE25'!L302+'DOE25'!L307+'DOE25'!L321+'DOE25'!L326,0)</f>
        <v>1063088</v>
      </c>
      <c r="D17" s="181">
        <f t="shared" si="0"/>
        <v>6.7</v>
      </c>
    </row>
    <row r="18" spans="1:4" x14ac:dyDescent="0.2">
      <c r="A18">
        <v>2400</v>
      </c>
      <c r="B18" t="s">
        <v>714</v>
      </c>
      <c r="C18" s="178">
        <f>ROUND('DOE25'!L205+'DOE25'!L223+'DOE25'!L241+'DOE25'!L284+'DOE25'!L303+'DOE25'!L322,0)</f>
        <v>822534</v>
      </c>
      <c r="D18" s="181">
        <f t="shared" si="0"/>
        <v>5.2</v>
      </c>
    </row>
    <row r="19" spans="1:4" x14ac:dyDescent="0.2">
      <c r="A19">
        <v>2500</v>
      </c>
      <c r="B19" t="s">
        <v>711</v>
      </c>
      <c r="C19" s="178">
        <f>ROUND('DOE25'!L206+'DOE25'!L224+'DOE25'!L242+'DOE25'!L285+'DOE25'!L304+'DOE25'!L323,0)</f>
        <v>173022</v>
      </c>
      <c r="D19" s="181">
        <f t="shared" si="0"/>
        <v>1.1000000000000001</v>
      </c>
    </row>
    <row r="20" spans="1:4" x14ac:dyDescent="0.2">
      <c r="A20">
        <v>2600</v>
      </c>
      <c r="B20" t="s">
        <v>712</v>
      </c>
      <c r="C20" s="178">
        <f>ROUND('DOE25'!L207+'DOE25'!L225+'DOE25'!L243+'DOE25'!L286+'DOE25'!L305+'DOE25'!L324,0)</f>
        <v>1512136</v>
      </c>
      <c r="D20" s="181">
        <f t="shared" si="0"/>
        <v>9.5</v>
      </c>
    </row>
    <row r="21" spans="1:4" x14ac:dyDescent="0.2">
      <c r="A21">
        <v>2700</v>
      </c>
      <c r="B21" t="s">
        <v>713</v>
      </c>
      <c r="C21" s="178">
        <f>ROUND('DOE25'!L208+'DOE25'!L226+'DOE25'!L244+'DOE25'!L287+'DOE25'!L306+'DOE25'!L325,0)</f>
        <v>391422</v>
      </c>
      <c r="D21" s="181">
        <f t="shared" si="0"/>
        <v>2.5</v>
      </c>
    </row>
    <row r="22" spans="1:4" x14ac:dyDescent="0.2">
      <c r="A22">
        <v>2900</v>
      </c>
      <c r="B22" t="s">
        <v>715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717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725</v>
      </c>
      <c r="B24" t="s">
        <v>718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719</v>
      </c>
      <c r="C25" s="178">
        <f>ROUND('DOE25'!L261+'DOE25'!L342,0)</f>
        <v>226119</v>
      </c>
      <c r="D25" s="181">
        <f t="shared" si="0"/>
        <v>1.4</v>
      </c>
    </row>
    <row r="26" spans="1:4" x14ac:dyDescent="0.2">
      <c r="A26" s="182" t="s">
        <v>720</v>
      </c>
      <c r="B26" t="s">
        <v>721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275597.27</v>
      </c>
      <c r="D27" s="181">
        <f t="shared" si="0"/>
        <v>1.7</v>
      </c>
    </row>
    <row r="28" spans="1:4" x14ac:dyDescent="0.2">
      <c r="B28" s="186" t="s">
        <v>722</v>
      </c>
      <c r="C28" s="179">
        <f>SUM(C10:C27)</f>
        <v>15869961.27</v>
      </c>
      <c r="D28" s="183">
        <f>ROUND(SUM(D10:D27),0)</f>
        <v>100</v>
      </c>
    </row>
    <row r="29" spans="1:4" x14ac:dyDescent="0.2">
      <c r="A29">
        <v>4000</v>
      </c>
      <c r="B29" t="s">
        <v>727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728</v>
      </c>
      <c r="C30" s="179">
        <f>SUM(C28:C29)</f>
        <v>15869961.27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729</v>
      </c>
      <c r="C32" s="179">
        <f>ROUND('DOE25'!L260+'DOE25'!L341,0)</f>
        <v>560000</v>
      </c>
    </row>
    <row r="34" spans="1:4" x14ac:dyDescent="0.2">
      <c r="A34" s="186" t="s">
        <v>94</v>
      </c>
      <c r="B34" s="187" t="s">
        <v>910</v>
      </c>
      <c r="C34" s="180" t="s">
        <v>723</v>
      </c>
      <c r="D34" s="180" t="s">
        <v>724</v>
      </c>
    </row>
    <row r="35" spans="1:4" x14ac:dyDescent="0.2">
      <c r="A35">
        <v>1100</v>
      </c>
      <c r="B35" s="184" t="s">
        <v>730</v>
      </c>
      <c r="C35" s="178">
        <f>ROUND('DOE25'!F60+'DOE25'!G60+'DOE25'!H60+'DOE25'!I60+'DOE25'!J60,0)</f>
        <v>9608927</v>
      </c>
      <c r="D35" s="181">
        <f t="shared" ref="D35:D40" si="1">ROUND((C35/$C$41)*100,1)</f>
        <v>59.4</v>
      </c>
    </row>
    <row r="36" spans="1:4" x14ac:dyDescent="0.2">
      <c r="B36" s="184" t="s">
        <v>742</v>
      </c>
      <c r="C36" s="178">
        <f>SUM('DOE25'!F112:J112)-SUM('DOE25'!G97:G110)+('DOE25'!F174+'DOE25'!F175+'DOE25'!I174+'DOE25'!I175)-C35</f>
        <v>353654.36999999918</v>
      </c>
      <c r="D36" s="181">
        <f t="shared" si="1"/>
        <v>2.2000000000000002</v>
      </c>
    </row>
    <row r="37" spans="1:4" x14ac:dyDescent="0.2">
      <c r="A37" s="182" t="s">
        <v>850</v>
      </c>
      <c r="B37" s="184" t="s">
        <v>731</v>
      </c>
      <c r="C37" s="178">
        <f>ROUND('DOE25'!F117+'DOE25'!F118,0)</f>
        <v>4673648</v>
      </c>
      <c r="D37" s="181">
        <f t="shared" si="1"/>
        <v>28.9</v>
      </c>
    </row>
    <row r="38" spans="1:4" x14ac:dyDescent="0.2">
      <c r="A38" s="182" t="s">
        <v>737</v>
      </c>
      <c r="B38" s="184" t="s">
        <v>732</v>
      </c>
      <c r="C38" s="178">
        <f>ROUND(SUM('DOE25'!F140:J140)-SUM('DOE25'!F117:F119),0)</f>
        <v>509362</v>
      </c>
      <c r="D38" s="181">
        <f t="shared" si="1"/>
        <v>3.1</v>
      </c>
    </row>
    <row r="39" spans="1:4" x14ac:dyDescent="0.2">
      <c r="A39">
        <v>4000</v>
      </c>
      <c r="B39" s="184" t="s">
        <v>733</v>
      </c>
      <c r="C39" s="178">
        <f>ROUND('DOE25'!F169+'DOE25'!G169+'DOE25'!H169+'DOE25'!I169,0)</f>
        <v>1038501</v>
      </c>
      <c r="D39" s="181">
        <f t="shared" si="1"/>
        <v>6.4</v>
      </c>
    </row>
    <row r="40" spans="1:4" x14ac:dyDescent="0.2">
      <c r="A40" s="182" t="s">
        <v>738</v>
      </c>
      <c r="B40" s="184" t="s">
        <v>734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735</v>
      </c>
      <c r="C41" s="179">
        <f>SUM(C35:C40)</f>
        <v>16184092.369999999</v>
      </c>
      <c r="D41" s="183">
        <f>SUM(D35:D40)</f>
        <v>100</v>
      </c>
    </row>
    <row r="42" spans="1:4" x14ac:dyDescent="0.2">
      <c r="A42" s="182" t="s">
        <v>740</v>
      </c>
      <c r="B42" s="184" t="s">
        <v>736</v>
      </c>
      <c r="C42" s="178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769</v>
      </c>
      <c r="B1" s="294"/>
      <c r="C1" s="294"/>
      <c r="D1" s="294"/>
      <c r="E1" s="294"/>
      <c r="F1" s="294"/>
      <c r="G1" s="294"/>
      <c r="H1" s="294"/>
      <c r="I1" s="294"/>
      <c r="J1" s="212"/>
      <c r="K1" s="212"/>
      <c r="L1" s="212"/>
      <c r="M1" s="213"/>
    </row>
    <row r="2" spans="1:26" ht="12.75" x14ac:dyDescent="0.2">
      <c r="A2" s="299" t="s">
        <v>766</v>
      </c>
      <c r="B2" s="300"/>
      <c r="C2" s="300"/>
      <c r="D2" s="300"/>
      <c r="E2" s="300"/>
      <c r="F2" s="297" t="str">
        <f>'DOE25'!A2</f>
        <v>LITTLETON SCHOOL DISTRICT</v>
      </c>
      <c r="G2" s="298"/>
      <c r="H2" s="298"/>
      <c r="I2" s="298"/>
      <c r="J2" s="52"/>
      <c r="K2" s="52"/>
      <c r="L2" s="52"/>
      <c r="M2" s="214"/>
    </row>
    <row r="3" spans="1:26" x14ac:dyDescent="0.2">
      <c r="A3" s="215" t="s">
        <v>767</v>
      </c>
      <c r="B3" s="216" t="s">
        <v>768</v>
      </c>
      <c r="C3" s="295" t="s">
        <v>770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7"/>
      <c r="B4" s="218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0"/>
      <c r="O29" s="21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6"/>
      <c r="AB29" s="206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6"/>
      <c r="AO29" s="206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6"/>
      <c r="BB29" s="206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6"/>
      <c r="BO29" s="206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6"/>
      <c r="CB29" s="206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6"/>
      <c r="CO29" s="206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6"/>
      <c r="DB29" s="206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6"/>
      <c r="DO29" s="206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6"/>
      <c r="EB29" s="206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6"/>
      <c r="EO29" s="206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6"/>
      <c r="FB29" s="206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6"/>
      <c r="FO29" s="206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6"/>
      <c r="GB29" s="206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6"/>
      <c r="GO29" s="206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6"/>
      <c r="HB29" s="206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6"/>
      <c r="HO29" s="206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6"/>
      <c r="IB29" s="206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6"/>
      <c r="IO29" s="206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7"/>
      <c r="B30" s="218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0"/>
      <c r="O30" s="21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6"/>
      <c r="AB30" s="206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6"/>
      <c r="AO30" s="206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6"/>
      <c r="BB30" s="206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6"/>
      <c r="BO30" s="206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6"/>
      <c r="CB30" s="206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6"/>
      <c r="CO30" s="206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6"/>
      <c r="DB30" s="206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6"/>
      <c r="DO30" s="206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6"/>
      <c r="EB30" s="206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6"/>
      <c r="EO30" s="206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6"/>
      <c r="FB30" s="206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6"/>
      <c r="FO30" s="206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6"/>
      <c r="GB30" s="206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6"/>
      <c r="GO30" s="206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6"/>
      <c r="HB30" s="206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6"/>
      <c r="HO30" s="206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6"/>
      <c r="IB30" s="206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6"/>
      <c r="IO30" s="206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7"/>
      <c r="B31" s="218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0"/>
      <c r="O31" s="21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6"/>
      <c r="AB31" s="206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6"/>
      <c r="AO31" s="206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6"/>
      <c r="BB31" s="206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6"/>
      <c r="BO31" s="206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6"/>
      <c r="CB31" s="206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6"/>
      <c r="CO31" s="206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6"/>
      <c r="DB31" s="206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6"/>
      <c r="DO31" s="206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6"/>
      <c r="EB31" s="206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6"/>
      <c r="EO31" s="206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6"/>
      <c r="FB31" s="206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6"/>
      <c r="FO31" s="206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6"/>
      <c r="GB31" s="206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6"/>
      <c r="GO31" s="206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6"/>
      <c r="HB31" s="206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6"/>
      <c r="HO31" s="206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6"/>
      <c r="IB31" s="206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6"/>
      <c r="IO31" s="206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7"/>
      <c r="B32" s="218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2"/>
      <c r="O32" s="222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7"/>
      <c r="AB32" s="218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7"/>
      <c r="AO32" s="218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7"/>
      <c r="BB32" s="218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7"/>
      <c r="BO32" s="218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7"/>
      <c r="CB32" s="218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7"/>
      <c r="CO32" s="218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7"/>
      <c r="DB32" s="218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7"/>
      <c r="DO32" s="218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7"/>
      <c r="EB32" s="218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7"/>
      <c r="EO32" s="218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7"/>
      <c r="FB32" s="218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7"/>
      <c r="FO32" s="218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7"/>
      <c r="GB32" s="218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7"/>
      <c r="GO32" s="218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7"/>
      <c r="HB32" s="218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7"/>
      <c r="HO32" s="218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7"/>
      <c r="IB32" s="218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7"/>
      <c r="IO32" s="218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7"/>
      <c r="B33" s="218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0"/>
      <c r="O38" s="21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6"/>
      <c r="AB38" s="206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6"/>
      <c r="AO38" s="206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6"/>
      <c r="BB38" s="206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6"/>
      <c r="BO38" s="206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6"/>
      <c r="CB38" s="206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6"/>
      <c r="CO38" s="206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6"/>
      <c r="DB38" s="206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6"/>
      <c r="DO38" s="206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6"/>
      <c r="EB38" s="206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6"/>
      <c r="EO38" s="206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6"/>
      <c r="FB38" s="206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6"/>
      <c r="FO38" s="206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6"/>
      <c r="GB38" s="206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6"/>
      <c r="GO38" s="206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6"/>
      <c r="HB38" s="206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6"/>
      <c r="HO38" s="206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6"/>
      <c r="IB38" s="206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6"/>
      <c r="IO38" s="206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7"/>
      <c r="B39" s="218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0"/>
      <c r="O39" s="21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6"/>
      <c r="AB39" s="206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6"/>
      <c r="AO39" s="206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6"/>
      <c r="BB39" s="206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6"/>
      <c r="BO39" s="206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6"/>
      <c r="CB39" s="206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6"/>
      <c r="CO39" s="206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6"/>
      <c r="DB39" s="206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6"/>
      <c r="DO39" s="206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6"/>
      <c r="EB39" s="206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6"/>
      <c r="EO39" s="206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6"/>
      <c r="FB39" s="206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6"/>
      <c r="FO39" s="206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6"/>
      <c r="GB39" s="206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6"/>
      <c r="GO39" s="206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6"/>
      <c r="HB39" s="206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6"/>
      <c r="HO39" s="206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6"/>
      <c r="IB39" s="206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6"/>
      <c r="IO39" s="206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7"/>
      <c r="B40" s="218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0"/>
      <c r="O40" s="21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6"/>
      <c r="AB40" s="206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6"/>
      <c r="AO40" s="206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6"/>
      <c r="BB40" s="206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6"/>
      <c r="BO40" s="206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6"/>
      <c r="CB40" s="206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6"/>
      <c r="CO40" s="206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6"/>
      <c r="DB40" s="206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6"/>
      <c r="DO40" s="206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6"/>
      <c r="EB40" s="206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6"/>
      <c r="EO40" s="206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6"/>
      <c r="FB40" s="206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6"/>
      <c r="FO40" s="206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6"/>
      <c r="GB40" s="206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6"/>
      <c r="GO40" s="206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6"/>
      <c r="HB40" s="206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6"/>
      <c r="HO40" s="206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6"/>
      <c r="IB40" s="206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6"/>
      <c r="IO40" s="206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7"/>
      <c r="B41" s="218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7"/>
      <c r="B60" s="218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7"/>
      <c r="B61" s="218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7"/>
      <c r="B62" s="218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7"/>
      <c r="B63" s="218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7"/>
      <c r="B64" s="218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7"/>
      <c r="B65" s="218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7"/>
      <c r="B66" s="218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7"/>
      <c r="B67" s="218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7"/>
      <c r="B68" s="218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7"/>
      <c r="B69" s="218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9"/>
      <c r="B70" s="220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8" t="s">
        <v>847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767</v>
      </c>
      <c r="B73" s="209" t="s">
        <v>768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0"/>
      <c r="B74" s="210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0"/>
      <c r="B75" s="210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0"/>
      <c r="B76" s="210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0"/>
      <c r="B77" s="210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0"/>
      <c r="B78" s="210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0"/>
      <c r="B79" s="210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0"/>
      <c r="B80" s="210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0"/>
      <c r="B81" s="210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0"/>
      <c r="B82" s="210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0"/>
      <c r="B83" s="210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0"/>
      <c r="B84" s="210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0"/>
      <c r="B85" s="210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0"/>
      <c r="B86" s="210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0"/>
      <c r="B87" s="210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0"/>
      <c r="B88" s="210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0"/>
      <c r="B89" s="210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0"/>
      <c r="B90" s="210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2017-10-03T19:06:59Z</cp:lastPrinted>
  <dcterms:created xsi:type="dcterms:W3CDTF">1997-12-04T19:04:30Z</dcterms:created>
  <dcterms:modified xsi:type="dcterms:W3CDTF">2017-11-29T17:36:28Z</dcterms:modified>
</cp:coreProperties>
</file>