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68" i="1" l="1"/>
  <c r="G567" i="1"/>
  <c r="G563" i="1"/>
  <c r="G564" i="1"/>
  <c r="G562" i="1"/>
  <c r="F564" i="1"/>
  <c r="F563" i="1"/>
  <c r="F562" i="1"/>
  <c r="B19" i="12"/>
  <c r="B21" i="12"/>
  <c r="B20" i="12"/>
  <c r="B12" i="12"/>
  <c r="G97" i="1"/>
  <c r="G612" i="1"/>
  <c r="G613" i="1"/>
  <c r="G611" i="1"/>
  <c r="I613" i="1"/>
  <c r="I612" i="1"/>
  <c r="I611" i="1"/>
  <c r="F613" i="1"/>
  <c r="F612" i="1"/>
  <c r="F611" i="1"/>
  <c r="J604" i="1"/>
  <c r="H604" i="1"/>
  <c r="I233" i="1"/>
  <c r="H244" i="1"/>
  <c r="I197" i="1"/>
  <c r="H208" i="1"/>
  <c r="J591" i="1"/>
  <c r="J595" i="1"/>
  <c r="H582" i="1"/>
  <c r="F582" i="1"/>
  <c r="H234" i="1"/>
  <c r="F568" i="1"/>
  <c r="F567" i="1"/>
  <c r="G532" i="1"/>
  <c r="G533" i="1"/>
  <c r="G531" i="1"/>
  <c r="G527" i="1"/>
  <c r="G528" i="1"/>
  <c r="G526" i="1"/>
  <c r="G522" i="1"/>
  <c r="G523" i="1"/>
  <c r="G521" i="1"/>
  <c r="I521" i="1" l="1"/>
  <c r="I528" i="1"/>
  <c r="I527" i="1"/>
  <c r="I526" i="1"/>
  <c r="H528" i="1"/>
  <c r="H527" i="1"/>
  <c r="H526" i="1"/>
  <c r="F528" i="1"/>
  <c r="F527" i="1"/>
  <c r="F526" i="1"/>
  <c r="J521" i="1"/>
  <c r="I523" i="1"/>
  <c r="I522" i="1"/>
  <c r="H523" i="1"/>
  <c r="H522" i="1"/>
  <c r="H521" i="1"/>
  <c r="F523" i="1"/>
  <c r="F522" i="1"/>
  <c r="F521" i="1"/>
  <c r="I533" i="1"/>
  <c r="I532" i="1"/>
  <c r="I531" i="1"/>
  <c r="H533" i="1"/>
  <c r="H532" i="1"/>
  <c r="H531" i="1"/>
  <c r="F533" i="1"/>
  <c r="F532" i="1"/>
  <c r="F531" i="1"/>
  <c r="K523" i="1"/>
  <c r="J523" i="1"/>
  <c r="K522" i="1"/>
  <c r="J522" i="1"/>
  <c r="K521" i="1"/>
  <c r="G233" i="1"/>
  <c r="G239" i="1"/>
  <c r="G221" i="1"/>
  <c r="G203" i="1"/>
  <c r="I251" i="1" l="1"/>
  <c r="J245" i="1" l="1"/>
  <c r="I245" i="1"/>
  <c r="H245" i="1"/>
  <c r="K243" i="1"/>
  <c r="J243" i="1"/>
  <c r="I243" i="1"/>
  <c r="H243" i="1"/>
  <c r="H242" i="1"/>
  <c r="H241" i="1"/>
  <c r="K240" i="1"/>
  <c r="J240" i="1"/>
  <c r="I240" i="1"/>
  <c r="H240" i="1"/>
  <c r="K239" i="1"/>
  <c r="J239" i="1"/>
  <c r="I239" i="1"/>
  <c r="H239" i="1"/>
  <c r="I238" i="1"/>
  <c r="H238" i="1"/>
  <c r="J236" i="1"/>
  <c r="I236" i="1"/>
  <c r="I234" i="1"/>
  <c r="J233" i="1"/>
  <c r="H233" i="1"/>
  <c r="I222" i="1"/>
  <c r="J227" i="1"/>
  <c r="I227" i="1"/>
  <c r="H227" i="1"/>
  <c r="H226" i="1"/>
  <c r="K225" i="1"/>
  <c r="J225" i="1"/>
  <c r="I225" i="1"/>
  <c r="H225" i="1"/>
  <c r="H224" i="1"/>
  <c r="H223" i="1"/>
  <c r="K222" i="1"/>
  <c r="J222" i="1"/>
  <c r="H222" i="1"/>
  <c r="K221" i="1"/>
  <c r="J221" i="1"/>
  <c r="I221" i="1"/>
  <c r="H221" i="1"/>
  <c r="I220" i="1"/>
  <c r="H220" i="1"/>
  <c r="J218" i="1"/>
  <c r="I218" i="1"/>
  <c r="K216" i="1"/>
  <c r="I216" i="1"/>
  <c r="H216" i="1"/>
  <c r="J215" i="1"/>
  <c r="I215" i="1"/>
  <c r="H215" i="1"/>
  <c r="J209" i="1" l="1"/>
  <c r="I209" i="1"/>
  <c r="H209" i="1"/>
  <c r="K207" i="1"/>
  <c r="J207" i="1"/>
  <c r="I207" i="1" l="1"/>
  <c r="H207" i="1" l="1"/>
  <c r="H206" i="1"/>
  <c r="H205" i="1"/>
  <c r="K204" i="1"/>
  <c r="J204" i="1"/>
  <c r="I204" i="1"/>
  <c r="H204" i="1"/>
  <c r="K203" i="1"/>
  <c r="J203" i="1"/>
  <c r="I203" i="1"/>
  <c r="H203" i="1"/>
  <c r="I202" i="1"/>
  <c r="H202" i="1"/>
  <c r="I200" i="1"/>
  <c r="K198" i="1"/>
  <c r="I198" i="1"/>
  <c r="H198" i="1"/>
  <c r="I241" i="1"/>
  <c r="K241" i="1"/>
  <c r="K238" i="1"/>
  <c r="H251" i="1"/>
  <c r="K236" i="1"/>
  <c r="H236" i="1"/>
  <c r="K234" i="1"/>
  <c r="J234" i="1"/>
  <c r="K233" i="1"/>
  <c r="K223" i="1"/>
  <c r="I223" i="1"/>
  <c r="K218" i="1"/>
  <c r="H218" i="1"/>
  <c r="J216" i="1"/>
  <c r="K205" i="1"/>
  <c r="I205" i="1"/>
  <c r="K202" i="1"/>
  <c r="J198" i="1"/>
  <c r="J197" i="1"/>
  <c r="H197" i="1"/>
  <c r="H235" i="1"/>
  <c r="F197" i="1" l="1"/>
  <c r="F220" i="1"/>
  <c r="F245" i="1" l="1"/>
  <c r="F243" i="1"/>
  <c r="F242" i="1"/>
  <c r="F241" i="1"/>
  <c r="F240" i="1"/>
  <c r="F239" i="1"/>
  <c r="F238" i="1"/>
  <c r="F236" i="1"/>
  <c r="F234" i="1"/>
  <c r="F233" i="1"/>
  <c r="F227" i="1"/>
  <c r="F225" i="1"/>
  <c r="F224" i="1"/>
  <c r="F223" i="1"/>
  <c r="F222" i="1"/>
  <c r="F221" i="1"/>
  <c r="F218" i="1"/>
  <c r="F216" i="1"/>
  <c r="F215" i="1"/>
  <c r="F209" i="1"/>
  <c r="F207" i="1"/>
  <c r="F206" i="1"/>
  <c r="F205" i="1"/>
  <c r="F204" i="1"/>
  <c r="F203" i="1"/>
  <c r="F202" i="1"/>
  <c r="F200" i="1"/>
  <c r="F198" i="1"/>
  <c r="F360" i="1" l="1"/>
  <c r="F359" i="1"/>
  <c r="F358" i="1"/>
  <c r="I315" i="1"/>
  <c r="F28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8" i="1" s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H25" i="13" s="1"/>
  <c r="C25" i="13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L351" i="1" s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L542" i="1"/>
  <c r="J550" i="1" s="1"/>
  <c r="L543" i="1"/>
  <c r="J551" i="1" s="1"/>
  <c r="E132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E112" i="2"/>
  <c r="C113" i="2"/>
  <c r="E113" i="2"/>
  <c r="D115" i="2"/>
  <c r="F115" i="2"/>
  <c r="G115" i="2"/>
  <c r="E119" i="2"/>
  <c r="E120" i="2"/>
  <c r="E121" i="2"/>
  <c r="E123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J645" i="1" s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G461" i="1" s="1"/>
  <c r="H640" i="1" s="1"/>
  <c r="H452" i="1"/>
  <c r="F460" i="1"/>
  <c r="G460" i="1"/>
  <c r="H460" i="1"/>
  <c r="F461" i="1"/>
  <c r="H461" i="1"/>
  <c r="F470" i="1"/>
  <c r="G470" i="1"/>
  <c r="H470" i="1"/>
  <c r="H476" i="1" s="1"/>
  <c r="H624" i="1" s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1" i="1"/>
  <c r="H641" i="1"/>
  <c r="G643" i="1"/>
  <c r="H643" i="1"/>
  <c r="G644" i="1"/>
  <c r="G645" i="1"/>
  <c r="H647" i="1"/>
  <c r="G651" i="1"/>
  <c r="G652" i="1"/>
  <c r="H652" i="1"/>
  <c r="G653" i="1"/>
  <c r="H653" i="1"/>
  <c r="G654" i="1"/>
  <c r="H654" i="1"/>
  <c r="H655" i="1"/>
  <c r="J655" i="1" s="1"/>
  <c r="A31" i="12"/>
  <c r="D62" i="2"/>
  <c r="D18" i="13"/>
  <c r="C18" i="13" s="1"/>
  <c r="D17" i="13"/>
  <c r="C17" i="13" s="1"/>
  <c r="F78" i="2"/>
  <c r="F81" i="2" s="1"/>
  <c r="C78" i="2"/>
  <c r="F18" i="2"/>
  <c r="G156" i="2"/>
  <c r="E103" i="2"/>
  <c r="D91" i="2"/>
  <c r="D19" i="13"/>
  <c r="C19" i="13" s="1"/>
  <c r="E78" i="2"/>
  <c r="E81" i="2" s="1"/>
  <c r="J571" i="1"/>
  <c r="L419" i="1"/>
  <c r="G338" i="1"/>
  <c r="G352" i="1" s="1"/>
  <c r="G22" i="2"/>
  <c r="H140" i="1"/>
  <c r="F22" i="13"/>
  <c r="C22" i="13" s="1"/>
  <c r="H338" i="1"/>
  <c r="H352" i="1" s="1"/>
  <c r="F338" i="1"/>
  <c r="F352" i="1" s="1"/>
  <c r="G36" i="2"/>
  <c r="L565" i="1" l="1"/>
  <c r="F571" i="1"/>
  <c r="L614" i="1"/>
  <c r="K605" i="1"/>
  <c r="G648" i="1" s="1"/>
  <c r="C21" i="10"/>
  <c r="I571" i="1"/>
  <c r="H571" i="1"/>
  <c r="L570" i="1"/>
  <c r="L571" i="1" s="1"/>
  <c r="H552" i="1"/>
  <c r="K551" i="1"/>
  <c r="L539" i="1"/>
  <c r="G552" i="1"/>
  <c r="K550" i="1"/>
  <c r="L534" i="1"/>
  <c r="H545" i="1"/>
  <c r="C122" i="2"/>
  <c r="C25" i="10"/>
  <c r="H33" i="13"/>
  <c r="C32" i="10"/>
  <c r="C17" i="10"/>
  <c r="E16" i="13"/>
  <c r="C16" i="13" s="1"/>
  <c r="G649" i="1"/>
  <c r="J649" i="1" s="1"/>
  <c r="J257" i="1"/>
  <c r="J271" i="1" s="1"/>
  <c r="C121" i="2"/>
  <c r="L256" i="1"/>
  <c r="G257" i="1"/>
  <c r="G271" i="1" s="1"/>
  <c r="C10" i="10"/>
  <c r="C12" i="10"/>
  <c r="H257" i="1"/>
  <c r="H271" i="1" s="1"/>
  <c r="L229" i="1"/>
  <c r="G660" i="1" s="1"/>
  <c r="C111" i="2"/>
  <c r="C125" i="2"/>
  <c r="E8" i="13"/>
  <c r="C8" i="13" s="1"/>
  <c r="D5" i="13"/>
  <c r="C5" i="13" s="1"/>
  <c r="E13" i="13"/>
  <c r="C13" i="13" s="1"/>
  <c r="C110" i="2"/>
  <c r="F257" i="1"/>
  <c r="F271" i="1" s="1"/>
  <c r="D12" i="13"/>
  <c r="C12" i="13" s="1"/>
  <c r="D6" i="13"/>
  <c r="C6" i="13" s="1"/>
  <c r="A40" i="12"/>
  <c r="J476" i="1"/>
  <c r="H626" i="1" s="1"/>
  <c r="F476" i="1"/>
  <c r="H622" i="1" s="1"/>
  <c r="J622" i="1" s="1"/>
  <c r="L401" i="1"/>
  <c r="C139" i="2" s="1"/>
  <c r="J644" i="1"/>
  <c r="L393" i="1"/>
  <c r="C138" i="2" s="1"/>
  <c r="I369" i="1"/>
  <c r="H634" i="1" s="1"/>
  <c r="J634" i="1" s="1"/>
  <c r="D127" i="2"/>
  <c r="D128" i="2" s="1"/>
  <c r="L362" i="1"/>
  <c r="C27" i="10" s="1"/>
  <c r="H661" i="1"/>
  <c r="D29" i="13"/>
  <c r="C29" i="13" s="1"/>
  <c r="G661" i="1"/>
  <c r="E118" i="2"/>
  <c r="E128" i="2" s="1"/>
  <c r="A13" i="12"/>
  <c r="E62" i="2"/>
  <c r="E63" i="2" s="1"/>
  <c r="C81" i="2"/>
  <c r="F192" i="1"/>
  <c r="F112" i="1"/>
  <c r="J640" i="1"/>
  <c r="G625" i="1"/>
  <c r="J624" i="1"/>
  <c r="H52" i="1"/>
  <c r="H619" i="1" s="1"/>
  <c r="J619" i="1" s="1"/>
  <c r="J623" i="1"/>
  <c r="D18" i="2"/>
  <c r="J617" i="1"/>
  <c r="I257" i="1"/>
  <c r="I271" i="1" s="1"/>
  <c r="J641" i="1"/>
  <c r="I476" i="1"/>
  <c r="H625" i="1" s="1"/>
  <c r="J639" i="1"/>
  <c r="L427" i="1"/>
  <c r="L434" i="1" s="1"/>
  <c r="G638" i="1" s="1"/>
  <c r="J638" i="1" s="1"/>
  <c r="G192" i="1"/>
  <c r="C118" i="2"/>
  <c r="L247" i="1"/>
  <c r="H660" i="1" s="1"/>
  <c r="H664" i="1" s="1"/>
  <c r="J643" i="1"/>
  <c r="K598" i="1"/>
  <c r="G647" i="1" s="1"/>
  <c r="J647" i="1" s="1"/>
  <c r="K571" i="1"/>
  <c r="L560" i="1"/>
  <c r="K545" i="1"/>
  <c r="G545" i="1"/>
  <c r="L433" i="1"/>
  <c r="J49" i="1"/>
  <c r="G48" i="2" s="1"/>
  <c r="I460" i="1"/>
  <c r="J22" i="1"/>
  <c r="I452" i="1"/>
  <c r="I461" i="1" s="1"/>
  <c r="H642" i="1" s="1"/>
  <c r="J10" i="1"/>
  <c r="G9" i="2" s="1"/>
  <c r="I446" i="1"/>
  <c r="G642" i="1" s="1"/>
  <c r="E131" i="2"/>
  <c r="J549" i="1"/>
  <c r="J552" i="1" s="1"/>
  <c r="L544" i="1"/>
  <c r="F549" i="1"/>
  <c r="L524" i="1"/>
  <c r="C29" i="10"/>
  <c r="F130" i="2"/>
  <c r="F144" i="2" s="1"/>
  <c r="F145" i="2" s="1"/>
  <c r="I545" i="1"/>
  <c r="K257" i="1"/>
  <c r="K271" i="1" s="1"/>
  <c r="H112" i="1"/>
  <c r="J651" i="1"/>
  <c r="J545" i="1"/>
  <c r="D31" i="2"/>
  <c r="D51" i="2" s="1"/>
  <c r="E31" i="2"/>
  <c r="C18" i="2"/>
  <c r="B161" i="2"/>
  <c r="G161" i="2" s="1"/>
  <c r="K500" i="1"/>
  <c r="G157" i="2"/>
  <c r="E143" i="2"/>
  <c r="C26" i="10"/>
  <c r="I169" i="1"/>
  <c r="F85" i="2"/>
  <c r="C35" i="10"/>
  <c r="D56" i="2"/>
  <c r="D63" i="2" s="1"/>
  <c r="L309" i="1"/>
  <c r="L290" i="1"/>
  <c r="C11" i="10"/>
  <c r="D15" i="13"/>
  <c r="C15" i="13" s="1"/>
  <c r="G650" i="1"/>
  <c r="G662" i="1"/>
  <c r="I662" i="1" s="1"/>
  <c r="D14" i="13"/>
  <c r="C14" i="13" s="1"/>
  <c r="C20" i="10"/>
  <c r="C123" i="2"/>
  <c r="D7" i="13"/>
  <c r="C7" i="13" s="1"/>
  <c r="C16" i="10"/>
  <c r="C119" i="2"/>
  <c r="C13" i="10"/>
  <c r="L211" i="1"/>
  <c r="C112" i="2"/>
  <c r="D145" i="2"/>
  <c r="E109" i="2"/>
  <c r="E115" i="2" s="1"/>
  <c r="E145" i="2" s="1"/>
  <c r="G81" i="2"/>
  <c r="C62" i="2"/>
  <c r="C63" i="2" s="1"/>
  <c r="F661" i="1"/>
  <c r="C19" i="10"/>
  <c r="C15" i="10"/>
  <c r="G112" i="1"/>
  <c r="K503" i="1"/>
  <c r="L382" i="1"/>
  <c r="G636" i="1" s="1"/>
  <c r="J636" i="1" s="1"/>
  <c r="K338" i="1"/>
  <c r="K352" i="1" s="1"/>
  <c r="J338" i="1"/>
  <c r="J352" i="1" s="1"/>
  <c r="C124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E104" i="2" s="1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I140" i="1"/>
  <c r="I193" i="1" s="1"/>
  <c r="G630" i="1" s="1"/>
  <c r="J630" i="1" s="1"/>
  <c r="A22" i="12"/>
  <c r="G50" i="2"/>
  <c r="H648" i="1"/>
  <c r="J648" i="1" s="1"/>
  <c r="J652" i="1"/>
  <c r="G571" i="1"/>
  <c r="I434" i="1"/>
  <c r="G434" i="1"/>
  <c r="I663" i="1"/>
  <c r="G635" i="1"/>
  <c r="J635" i="1" s="1"/>
  <c r="C115" i="2" l="1"/>
  <c r="E33" i="13"/>
  <c r="D35" i="13" s="1"/>
  <c r="L257" i="1"/>
  <c r="L271" i="1" s="1"/>
  <c r="G632" i="1" s="1"/>
  <c r="J632" i="1" s="1"/>
  <c r="H672" i="1"/>
  <c r="C6" i="10" s="1"/>
  <c r="H667" i="1"/>
  <c r="C141" i="2"/>
  <c r="C144" i="2" s="1"/>
  <c r="L408" i="1"/>
  <c r="G637" i="1" s="1"/>
  <c r="J637" i="1" s="1"/>
  <c r="H646" i="1"/>
  <c r="J646" i="1" s="1"/>
  <c r="I661" i="1"/>
  <c r="G664" i="1"/>
  <c r="G672" i="1" s="1"/>
  <c r="C5" i="10" s="1"/>
  <c r="L338" i="1"/>
  <c r="L352" i="1" s="1"/>
  <c r="G633" i="1" s="1"/>
  <c r="J633" i="1" s="1"/>
  <c r="D31" i="13"/>
  <c r="C31" i="13" s="1"/>
  <c r="C28" i="10"/>
  <c r="D24" i="10" s="1"/>
  <c r="G104" i="2"/>
  <c r="C104" i="2"/>
  <c r="C36" i="10"/>
  <c r="F193" i="1"/>
  <c r="G627" i="1" s="1"/>
  <c r="J627" i="1" s="1"/>
  <c r="G51" i="2"/>
  <c r="J642" i="1"/>
  <c r="J625" i="1"/>
  <c r="E51" i="2"/>
  <c r="D104" i="2"/>
  <c r="K549" i="1"/>
  <c r="K552" i="1" s="1"/>
  <c r="F552" i="1"/>
  <c r="C128" i="2"/>
  <c r="F660" i="1"/>
  <c r="L545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67" i="1"/>
  <c r="D10" i="10"/>
  <c r="D23" i="10"/>
  <c r="D13" i="10"/>
  <c r="D15" i="10"/>
  <c r="D33" i="13"/>
  <c r="D36" i="13" s="1"/>
  <c r="C30" i="10"/>
  <c r="D27" i="10"/>
  <c r="D26" i="10"/>
  <c r="D25" i="10"/>
  <c r="D21" i="10"/>
  <c r="D20" i="10"/>
  <c r="D11" i="10"/>
  <c r="D16" i="10"/>
  <c r="D19" i="10"/>
  <c r="D22" i="10"/>
  <c r="D18" i="10"/>
  <c r="D17" i="10"/>
  <c r="D12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<sst xmlns="http://schemas.openxmlformats.org/spreadsheetml/2006/main" count="3965" uniqueCount="923">
  <si>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</si>
  <si>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</si>
  <si>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</si>
  <si>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</si>
  <si>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</si>
  <si>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</si>
  <si>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</si>
  <si>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</si>
  <si>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</si>
  <si>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</si>
  <si>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</si>
  <si>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</si>
  <si>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</si>
  <si>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</si>
  <si>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</si>
  <si>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</si>
  <si>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</si>
  <si>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</si>
  <si>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</si>
  <si>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</si>
  <si>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</si>
  <si>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</si>
  <si>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</si>
  <si>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</si>
  <si>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</si>
  <si>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</si>
  <si>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</si>
  <si>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</si>
  <si>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</si>
  <si>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</si>
  <si>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</si>
  <si>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</si>
  <si>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</si>
  <si>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</si>
  <si>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</si>
  <si>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</si>
  <si>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</si>
  <si>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</si>
  <si>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</si>
  <si>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</si>
  <si>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</si>
  <si>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</si>
  <si>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</si>
  <si>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</si>
  <si>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</si>
  <si>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</si>
  <si>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</si>
  <si>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</si>
  <si>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</si>
  <si>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</si>
  <si>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</si>
  <si>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</si>
  <si>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</si>
  <si>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</si>
  <si>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</si>
  <si>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</si>
  <si>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</si>
  <si>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</si>
  <si>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</si>
  <si>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</si>
  <si>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</si>
  <si>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</si>
  <si>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</si>
  <si>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</si>
  <si>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</si>
  <si>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</si>
  <si>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</si>
  <si>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</si>
  <si>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</si>
  <si>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</si>
  <si>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</si>
  <si>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</si>
  <si>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</si>
  <si>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</si>
  <si>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</si>
  <si>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</si>
  <si>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</si>
  <si>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</si>
  <si>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</si>
  <si>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</si>
  <si>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</si>
  <si>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</si>
  <si>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</si>
  <si>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</si>
  <si>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</si>
  <si>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</si>
  <si>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</si>
  <si>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</si>
  <si>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</si>
  <si>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</si>
  <si>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</si>
  <si>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</si>
  <si>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</si>
  <si>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</si>
  <si>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</si>
  <si>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</si>
  <si>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</si>
  <si>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</si>
  <si>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</si>
  <si>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</si>
  <si>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</si>
  <si>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</si>
  <si>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</si>
  <si>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</si>
  <si>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</si>
  <si>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</si>
  <si>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</si>
  <si>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</si>
  <si>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</si>
  <si>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</si>
  <si>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</si>
  <si>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</si>
  <si>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</si>
  <si>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</si>
  <si>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</si>
  <si>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</si>
  <si>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</si>
  <si>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</si>
  <si>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</si>
  <si>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</si>
  <si>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</si>
  <si>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</si>
  <si>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</si>
  <si>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</si>
  <si>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</si>
  <si>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</si>
  <si>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</si>
  <si>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</si>
  <si>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</si>
  <si>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</si>
  <si>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</si>
  <si>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</si>
  <si>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</si>
  <si>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</si>
  <si>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</si>
  <si>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</si>
  <si>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</si>
  <si>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</si>
  <si>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</si>
  <si>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</si>
  <si>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</si>
  <si>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</si>
  <si>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</si>
  <si>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</si>
  <si>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</si>
  <si>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</si>
  <si>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</si>
  <si>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</si>
  <si>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</si>
  <si>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</si>
  <si>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</si>
  <si>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</si>
  <si>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</si>
  <si>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</si>
  <si>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</si>
  <si>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</si>
  <si>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</si>
  <si>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</si>
  <si>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</si>
  <si>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</si>
  <si>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</si>
  <si>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</si>
  <si>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</si>
  <si>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</si>
  <si>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</si>
  <si>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</si>
  <si>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</si>
  <si>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</si>
  <si>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</si>
  <si>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</si>
  <si>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</si>
  <si>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</si>
  <si>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</si>
  <si>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</si>
  <si>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</si>
  <si>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</si>
  <si>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</si>
  <si>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</si>
  <si>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</si>
  <si>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</si>
  <si>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</si>
  <si>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</si>
  <si>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</si>
  <si>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</si>
  <si>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</si>
  <si>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</si>
  <si>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</si>
  <si>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</si>
  <si>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</si>
  <si>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</si>
  <si>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</si>
  <si>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</si>
  <si>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</si>
  <si>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</si>
  <si>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</si>
  <si>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</si>
  <si>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</si>
  <si>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</si>
  <si>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</si>
  <si>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</si>
  <si>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</si>
  <si>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</si>
  <si>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</si>
  <si>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</si>
  <si>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</si>
  <si>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</si>
  <si>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</si>
  <si>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</si>
  <si>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</si>
  <si>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</si>
  <si>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</si>
  <si>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</si>
  <si>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</si>
  <si>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</si>
  <si>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</si>
  <si>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</si>
  <si>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</si>
  <si>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</si>
  <si>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</si>
  <si>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</si>
  <si>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</si>
  <si>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</si>
  <si>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</si>
  <si>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</si>
  <si>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</si>
  <si>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</si>
  <si>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</si>
  <si>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</si>
  <si>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</si>
  <si>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</si>
  <si>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</si>
  <si>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</si>
  <si>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</si>
  <si>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</si>
  <si>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</si>
  <si>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</si>
  <si>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</si>
  <si>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</si>
  <si>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</si>
  <si>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</si>
  <si>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</si>
  <si>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</si>
  <si>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</si>
  <si>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</si>
  <si>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</si>
  <si>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</si>
  <si>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</si>
  <si>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</si>
  <si>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</si>
  <si>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</si>
  <si>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</si>
  <si>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</si>
  <si>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</si>
  <si>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</si>
  <si>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</si>
  <si>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</si>
  <si>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</si>
  <si>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</si>
  <si>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</si>
  <si>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</si>
  <si>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</si>
  <si>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</si>
  <si>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</si>
  <si>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</si>
  <si>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</si>
  <si>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</si>
  <si>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</si>
  <si>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</si>
  <si>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</si>
  <si>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</si>
  <si>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</si>
  <si>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</si>
  <si>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</si>
  <si>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</si>
  <si>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</si>
  <si>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</si>
  <si>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</si>
  <si>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</si>
  <si>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</si>
  <si>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</si>
  <si>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</si>
  <si>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</si>
  <si>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</si>
  <si>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</si>
  <si>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</si>
  <si>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</si>
  <si>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</si>
  <si>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</si>
  <si>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</si>
  <si>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</si>
  <si>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</si>
  <si>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</si>
  <si>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</si>
  <si>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</si>
  <si>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</si>
  <si>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</si>
  <si>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</si>
  <si>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</si>
  <si>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</si>
  <si>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</si>
  <si>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</si>
  <si>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</si>
  <si>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</si>
  <si>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</si>
  <si>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</si>
  <si>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</si>
  <si>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</si>
  <si>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</si>
  <si>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</si>
  <si>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</si>
  <si>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</si>
  <si>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</si>
  <si>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</si>
  <si>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</si>
  <si>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</si>
  <si>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</si>
  <si>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</si>
  <si>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</si>
  <si>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</si>
  <si>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</si>
  <si>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</si>
  <si>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</si>
  <si>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</si>
  <si>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</si>
  <si>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</si>
  <si>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</si>
  <si>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</si>
  <si>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</si>
  <si>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</si>
  <si>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</si>
  <si>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</si>
  <si>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</si>
  <si>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</si>
  <si>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</si>
  <si>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</si>
  <si>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</si>
  <si>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</si>
  <si>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</si>
  <si>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</si>
  <si>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</si>
  <si>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</si>
  <si>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</si>
  <si>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</si>
  <si>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</si>
  <si>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</si>
  <si>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</si>
  <si>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</si>
  <si>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</si>
  <si>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</si>
  <si>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</si>
  <si>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</si>
  <si>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</si>
  <si>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</si>
  <si>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</si>
  <si>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</si>
  <si>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</si>
  <si>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</si>
  <si>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</si>
  <si>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</si>
  <si>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</si>
  <si>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</si>
  <si>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</si>
  <si>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</si>
  <si>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</si>
  <si>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</si>
  <si>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</si>
  <si>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</si>
  <si>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</si>
  <si>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</si>
  <si>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</si>
  <si>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</si>
  <si>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</si>
  <si>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</si>
  <si>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</si>
  <si>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</si>
  <si>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</si>
  <si>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</si>
  <si>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</si>
  <si>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</si>
  <si>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</si>
  <si>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</si>
  <si>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</si>
  <si>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</si>
  <si>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</si>
  <si>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</si>
  <si>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</si>
  <si>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</si>
  <si>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</si>
  <si>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</si>
  <si>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</si>
  <si>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</si>
  <si>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</si>
  <si>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</si>
  <si>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</si>
  <si>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</si>
  <si>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</si>
  <si>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</si>
  <si>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</si>
  <si>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</si>
  <si>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</si>
  <si>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</si>
  <si>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</si>
  <si>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</si>
  <si>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</si>
  <si>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</si>
  <si>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</si>
  <si>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</si>
  <si>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</si>
  <si>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</si>
  <si>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</si>
  <si>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</si>
  <si>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</si>
  <si>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</si>
  <si>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</si>
  <si>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</si>
  <si>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</si>
  <si>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</si>
  <si>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</si>
  <si>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</si>
  <si>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</si>
  <si>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</si>
  <si>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</si>
  <si>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</si>
  <si>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</si>
  <si>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</si>
  <si>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</si>
  <si>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</si>
  <si>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</si>
  <si>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</si>
  <si>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</si>
  <si>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</si>
  <si>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</si>
  <si>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</si>
  <si>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</si>
  <si>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</si>
  <si>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</si>
  <si>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</si>
  <si>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</si>
  <si>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</si>
  <si>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</si>
  <si>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</si>
  <si>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</si>
  <si>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</si>
  <si>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</si>
  <si>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</si>
  <si>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</si>
  <si>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</si>
  <si>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</si>
  <si>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</si>
  <si>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</si>
  <si>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</si>
  <si>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</si>
  <si>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</si>
  <si>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</si>
  <si>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</si>
  <si>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</si>
  <si>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</si>
  <si>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</si>
  <si>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</si>
  <si>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</si>
  <si>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</si>
  <si>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</si>
  <si>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</si>
  <si>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</si>
  <si>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</si>
  <si>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</si>
  <si>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</si>
  <si>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</si>
  <si>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</si>
  <si>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</si>
  <si>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</si>
  <si>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</si>
  <si>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</si>
  <si>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</si>
  <si>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</si>
  <si>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</si>
  <si>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</si>
  <si>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</si>
  <si>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</si>
  <si>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</si>
  <si>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</si>
  <si>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</si>
  <si>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</si>
  <si>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</si>
  <si>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</si>
  <si>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</si>
  <si>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</si>
  <si>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</si>
  <si>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</si>
  <si>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</si>
  <si>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</si>
  <si>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</si>
  <si>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</si>
  <si>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</si>
  <si>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</si>
  <si>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</si>
  <si>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</si>
  <si>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</si>
  <si>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</si>
  <si>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</si>
  <si>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</si>
  <si>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</si>
  <si>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</si>
  <si>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</si>
  <si>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</si>
  <si>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</si>
  <si>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</si>
  <si>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</si>
  <si>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</si>
  <si>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</si>
  <si>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</si>
  <si>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</si>
  <si>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</si>
  <si>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</si>
  <si>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</si>
  <si>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</si>
  <si>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</si>
  <si>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</si>
  <si>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</si>
  <si>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</si>
  <si>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</si>
  <si>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</si>
  <si>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</si>
  <si>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</si>
  <si>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</si>
  <si>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</si>
  <si>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</si>
  <si>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</si>
  <si>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</si>
  <si>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</si>
  <si>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</si>
  <si>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</si>
  <si>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</si>
  <si>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</si>
  <si>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</si>
  <si>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</si>
  <si>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</si>
  <si>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</si>
  <si>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</si>
  <si>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</si>
  <si>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</si>
  <si>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</si>
  <si>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</si>
  <si>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</si>
  <si>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</si>
  <si>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</si>
  <si>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</si>
  <si>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</si>
  <si>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</si>
  <si>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</si>
  <si>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</si>
  <si>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</si>
  <si>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</si>
  <si>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</si>
  <si>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</si>
  <si>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</si>
  <si>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</si>
  <si>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</si>
  <si>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</si>
  <si>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</si>
  <si>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</si>
  <si>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</si>
  <si>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</si>
  <si>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</si>
  <si>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</si>
  <si>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</si>
  <si>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</si>
  <si>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</si>
  <si>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</si>
  <si>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</si>
  <si>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</si>
  <si>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</si>
  <si>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</si>
  <si>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</si>
  <si>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</si>
  <si>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</si>
  <si>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</si>
  <si>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</si>
  <si>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</si>
  <si>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</si>
  <si>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</si>
  <si>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</si>
  <si>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</si>
  <si>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</si>
  <si>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</si>
  <si>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</si>
  <si>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</si>
  <si>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</si>
  <si>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</si>
  <si>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</si>
  <si>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</si>
  <si>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</si>
  <si>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</si>
  <si>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</si>
  <si>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</si>
  <si>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</si>
  <si>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</si>
  <si>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</si>
  <si>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</si>
  <si>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</si>
  <si>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</si>
  <si>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</si>
  <si>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</si>
  <si>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</si>
  <si>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</si>
  <si>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</si>
  <si>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</si>
  <si>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</si>
  <si>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</si>
  <si>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</si>
  <si>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</si>
  <si>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</si>
  <si>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</si>
  <si>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</si>
  <si>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</si>
  <si>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</si>
  <si>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</si>
  <si>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</si>
  <si>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</si>
  <si>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</si>
  <si>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</si>
  <si>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</si>
  <si>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</si>
  <si>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</si>
  <si>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</si>
  <si>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</si>
  <si>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</si>
  <si>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</si>
  <si>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</si>
  <si>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</si>
  <si>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</si>
  <si>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</si>
  <si>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</si>
  <si>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</si>
  <si>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</si>
  <si>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</si>
  <si>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</si>
  <si>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</si>
  <si>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</si>
  <si>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</si>
  <si>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</si>
  <si>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</si>
  <si>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</si>
  <si>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</si>
  <si>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</si>
  <si>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</si>
  <si>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</si>
  <si>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</si>
  <si>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</si>
  <si>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</si>
  <si>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</si>
  <si>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</si>
  <si>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</si>
  <si>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</si>
  <si>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</si>
  <si>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</si>
  <si>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</si>
  <si>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</si>
  <si>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</si>
  <si>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</si>
  <si>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</si>
  <si>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</si>
  <si>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</si>
  <si>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</si>
  <si>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</si>
  <si>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</si>
  <si>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</si>
  <si>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</si>
  <si>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</si>
  <si>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</si>
  <si>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</si>
  <si>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</si>
  <si>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</si>
  <si>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</si>
  <si>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</si>
  <si>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</si>
  <si>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</si>
  <si>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</si>
  <si>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</si>
  <si>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</si>
  <si>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</si>
  <si>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</si>
  <si>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</si>
  <si>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</si>
  <si>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</si>
  <si>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</si>
  <si>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</si>
  <si>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</si>
  <si>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</si>
  <si>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</si>
  <si>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</si>
  <si>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</si>
  <si>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</si>
  <si>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</si>
  <si>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</si>
  <si>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</si>
  <si>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</si>
  <si>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</si>
  <si>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</si>
  <si>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</si>
  <si>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</si>
  <si>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</si>
  <si>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</si>
  <si>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</si>
  <si>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</si>
  <si>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</si>
  <si>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</si>
  <si>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</si>
  <si>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</si>
  <si>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</si>
  <si>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</si>
  <si>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</si>
  <si>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</si>
  <si>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</si>
  <si>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</si>
  <si>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</si>
  <si>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</si>
  <si>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</si>
  <si>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</si>
  <si>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</si>
  <si>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</si>
  <si>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</si>
  <si>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</si>
  <si>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</si>
  <si>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</si>
  <si>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</si>
  <si>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</si>
  <si>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</si>
  <si>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</si>
  <si>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</si>
  <si>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</si>
  <si>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</si>
  <si>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</si>
  <si>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</si>
  <si>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</si>
  <si>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</si>
  <si>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</si>
  <si>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</si>
  <si>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</si>
  <si>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</si>
  <si>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</si>
  <si>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</si>
  <si>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</si>
  <si>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</si>
  <si>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</si>
  <si>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</si>
  <si>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</si>
  <si>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</si>
  <si>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</si>
  <si>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</si>
  <si>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</si>
  <si>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</si>
  <si>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</si>
  <si>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</si>
  <si>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</si>
  <si>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</si>
  <si>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</si>
  <si>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</si>
  <si>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</si>
  <si>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</si>
  <si>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</si>
  <si>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</si>
  <si>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</si>
  <si>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</si>
  <si>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</si>
  <si>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</si>
  <si>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</si>
  <si>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</si>
  <si>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</si>
  <si>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</si>
  <si>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</si>
  <si>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</si>
  <si>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</si>
  <si>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</si>
  <si>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</si>
  <si>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</si>
  <si>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</si>
  <si>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</si>
  <si>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</si>
  <si>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</si>
  <si>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</si>
  <si>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</si>
  <si>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</si>
  <si>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</si>
  <si>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</si>
  <si>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</si>
  <si>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</si>
  <si>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</si>
  <si>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</si>
  <si>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</si>
  <si>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</si>
  <si>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</si>
  <si>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</si>
  <si>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</si>
  <si>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</si>
  <si>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</si>
  <si>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</si>
  <si>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</si>
  <si>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</si>
  <si>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</si>
  <si>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</si>
  <si>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</si>
  <si>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</si>
  <si>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</si>
  <si>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</si>
  <si>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</si>
  <si>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</si>
  <si>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</si>
  <si>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</si>
  <si>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</si>
  <si>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</si>
  <si>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</si>
  <si>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</si>
  <si>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</si>
  <si>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</si>
  <si>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</si>
  <si>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</si>
  <si>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</si>
  <si>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</si>
  <si>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</si>
  <si>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</si>
  <si>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</si>
  <si>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</si>
  <si>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</si>
  <si>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</si>
  <si>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</si>
  <si>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</si>
  <si>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</si>
  <si>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</si>
  <si>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</si>
  <si>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</si>
  <si>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</si>
  <si>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</si>
  <si>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</si>
  <si>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</si>
  <si>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</si>
  <si>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</si>
  <si>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</si>
  <si>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</si>
  <si>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</si>
  <si>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</si>
  <si>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</si>
  <si>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</si>
  <si>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</si>
  <si>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</si>
  <si>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</si>
  <si>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</si>
  <si>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</si>
  <si>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</si>
  <si>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</si>
  <si>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</si>
  <si>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</si>
  <si>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</si>
  <si>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</si>
  <si>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</si>
  <si>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</si>
  <si>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</si>
  <si>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</si>
  <si>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</si>
  <si>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</si>
  <si>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</si>
  <si>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</si>
  <si>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</si>
  <si>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</si>
  <si>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</si>
  <si>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</si>
  <si>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</si>
  <si>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</si>
  <si>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</si>
  <si>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</si>
  <si>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</si>
  <si>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</si>
  <si>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</si>
  <si>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</si>
  <si>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</si>
  <si>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</si>
  <si>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</si>
  <si>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</si>
  <si>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</si>
  <si>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</si>
  <si>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</si>
  <si>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</si>
  <si>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</si>
  <si>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</si>
  <si>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</si>
  <si>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</si>
  <si>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</si>
  <si>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</si>
  <si>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</si>
  <si>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</si>
  <si>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</si>
  <si>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</si>
  <si>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</si>
  <si>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</si>
  <si>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</si>
  <si>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</si>
  <si>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</si>
  <si>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</si>
  <si>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</si>
  <si>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</si>
  <si>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</si>
  <si>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</si>
  <si>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</si>
  <si>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</si>
  <si>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</si>
  <si>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</si>
  <si>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</si>
  <si>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</si>
  <si>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</si>
  <si>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</si>
  <si>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</si>
  <si>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</si>
  <si>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LONDONDERRY SCHOOL DISTRICT</t>
  </si>
  <si>
    <t>04/02</t>
  </si>
  <si>
    <t>07/22</t>
  </si>
  <si>
    <t>05/14</t>
  </si>
  <si>
    <t>08/25</t>
  </si>
  <si>
    <t>07/14</t>
  </si>
  <si>
    <t>07/24</t>
  </si>
  <si>
    <t>unrefunded balance</t>
  </si>
  <si>
    <t>07/08</t>
  </si>
  <si>
    <t>05/2017</t>
  </si>
  <si>
    <t>07/2028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</si>
</sst>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319</v>
      </c>
      <c r="C2" s="21">
        <v>319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2794117.46</v>
      </c>
      <c r="G9" s="18">
        <v>5600</v>
      </c>
      <c r="H9" s="18"/>
      <c r="I9" s="18"/>
      <c r="J9" s="67">
        <f>SUM(I439)</f>
        <v>431569.4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66230.8</v>
      </c>
      <c r="H12" s="18"/>
      <c r="I12" s="18">
        <v>450884.58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17561</v>
      </c>
      <c r="H13" s="18">
        <v>409301.86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260</v>
      </c>
      <c r="G14" s="18">
        <v>23245.19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28833.98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17020.75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2811398.21</v>
      </c>
      <c r="G19" s="41">
        <f>SUM(G9:G18)</f>
        <v>141470.97</v>
      </c>
      <c r="H19" s="41">
        <f>SUM(H9:H18)</f>
        <v>409301.86</v>
      </c>
      <c r="I19" s="41">
        <f>SUM(I9:I18)</f>
        <v>450884.58</v>
      </c>
      <c r="J19" s="41">
        <f>SUM(J9:J18)</f>
        <v>431569.4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177056.46</v>
      </c>
      <c r="G22" s="18"/>
      <c r="H22" s="18">
        <v>317271.59000000003</v>
      </c>
      <c r="I22" s="18"/>
      <c r="J22" s="67">
        <f>SUM(I448)</f>
        <v>22787.33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1390901.33</v>
      </c>
      <c r="G24" s="18">
        <v>56387.25</v>
      </c>
      <c r="H24" s="18">
        <v>2093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470424.53</v>
      </c>
      <c r="G28" s="18">
        <v>9728.69</v>
      </c>
      <c r="H28" s="18">
        <v>6098.17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166384.60999999999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558</v>
      </c>
      <c r="G31" s="18"/>
      <c r="H31" s="18">
        <v>60171</v>
      </c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2205324.9300000002</v>
      </c>
      <c r="G32" s="41">
        <f>SUM(G22:G31)</f>
        <v>66115.94</v>
      </c>
      <c r="H32" s="41">
        <f>SUM(H22:H31)</f>
        <v>385633.76</v>
      </c>
      <c r="I32" s="41">
        <f>SUM(I22:I31)</f>
        <v>0</v>
      </c>
      <c r="J32" s="41">
        <f>SUM(J22:J31)</f>
        <v>22787.33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28833.98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17020.75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>
        <v>23668.1</v>
      </c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175000</v>
      </c>
      <c r="G44" s="18"/>
      <c r="H44" s="18"/>
      <c r="I44" s="18">
        <v>450884.58</v>
      </c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402810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46521.05</v>
      </c>
      <c r="H48" s="18"/>
      <c r="I48" s="18"/>
      <c r="J48" s="13">
        <f>SUM(I459)</f>
        <v>408782.06999999995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11242.53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606073.28</v>
      </c>
      <c r="G51" s="41">
        <f>SUM(G35:G50)</f>
        <v>75355.03</v>
      </c>
      <c r="H51" s="41">
        <f>SUM(H35:H50)</f>
        <v>23668.1</v>
      </c>
      <c r="I51" s="41">
        <f>SUM(I35:I50)</f>
        <v>450884.58</v>
      </c>
      <c r="J51" s="41">
        <f>SUM(J35:J50)</f>
        <v>408782.06999999995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2811398.21</v>
      </c>
      <c r="G52" s="41">
        <f>G51+G32</f>
        <v>141470.97</v>
      </c>
      <c r="H52" s="41">
        <f>H51+H32</f>
        <v>409301.86</v>
      </c>
      <c r="I52" s="41">
        <f>I51+I32</f>
        <v>450884.58</v>
      </c>
      <c r="J52" s="41">
        <f>J51+J32</f>
        <v>431569.39999999997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50964891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50964891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107794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13951.5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12167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1002932.82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62210.98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1199056.2999999998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>
        <v>9.14</v>
      </c>
      <c r="H96" s="18"/>
      <c r="I96" s="18"/>
      <c r="J96" s="18">
        <v>70.930000000000007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992080.59-439.62</f>
        <v>991640.97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10953.98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29853.75</v>
      </c>
      <c r="G99" s="18">
        <v>77540.34</v>
      </c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175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9002.82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111</v>
      </c>
      <c r="G110" s="18">
        <v>2000</v>
      </c>
      <c r="H110" s="18">
        <v>8417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41093.729999999996</v>
      </c>
      <c r="G111" s="41">
        <f>SUM(G96:G110)</f>
        <v>1071190.45</v>
      </c>
      <c r="H111" s="41">
        <f>SUM(H96:H110)</f>
        <v>17419.82</v>
      </c>
      <c r="I111" s="41">
        <f>SUM(I96:I110)</f>
        <v>0</v>
      </c>
      <c r="J111" s="41">
        <f>SUM(J96:J110)</f>
        <v>70.930000000000007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52205041.029999994</v>
      </c>
      <c r="G112" s="41">
        <f>G60+G111</f>
        <v>1071190.45</v>
      </c>
      <c r="H112" s="41">
        <f>H60+H79+H94+H111</f>
        <v>17419.82</v>
      </c>
      <c r="I112" s="41">
        <f>I60+I111</f>
        <v>0</v>
      </c>
      <c r="J112" s="41">
        <f>J60+J111</f>
        <v>70.930000000000007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11142471.960000001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6779575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2375.67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17924422.630000003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629694.5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333665.62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13500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20137.2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13724.61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996997.32</v>
      </c>
      <c r="G136" s="41">
        <f>SUM(G123:G135)</f>
        <v>13724.61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18921419.950000003</v>
      </c>
      <c r="G140" s="41">
        <f>G121+SUM(G136:G137)</f>
        <v>13724.61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24000</v>
      </c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24000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222706.6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133106.75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56380.959999999999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203312.24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1072489.53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392611.51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67465.119999999995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392611.51</v>
      </c>
      <c r="G162" s="41">
        <f>SUM(G150:G161)</f>
        <v>270777.36</v>
      </c>
      <c r="H162" s="41">
        <f>SUM(H150:H161)</f>
        <v>1484683.84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416611.51</v>
      </c>
      <c r="G169" s="41">
        <f>G147+G162+SUM(G163:G168)</f>
        <v>270777.36</v>
      </c>
      <c r="H169" s="41">
        <f>H147+H162+SUM(H163:H168)</f>
        <v>1484683.84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52808.52</v>
      </c>
      <c r="H179" s="18"/>
      <c r="I179" s="18"/>
      <c r="J179" s="18">
        <v>600000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52808.52</v>
      </c>
      <c r="H183" s="41">
        <f>SUM(H179:H182)</f>
        <v>0</v>
      </c>
      <c r="I183" s="41">
        <f>SUM(I179:I182)</f>
        <v>0</v>
      </c>
      <c r="J183" s="41">
        <f>SUM(J179:J182)</f>
        <v>600000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91992.54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268879.49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360872.02999999997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360872.02999999997</v>
      </c>
      <c r="G192" s="41">
        <f>G183+SUM(G188:G191)</f>
        <v>52808.52</v>
      </c>
      <c r="H192" s="41">
        <f>+H183+SUM(H188:H191)</f>
        <v>0</v>
      </c>
      <c r="I192" s="41">
        <f>I177+I183+SUM(I188:I191)</f>
        <v>0</v>
      </c>
      <c r="J192" s="41">
        <f>J183</f>
        <v>600000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71903944.519999996</v>
      </c>
      <c r="G193" s="47">
        <f>G112+G140+G169+G192</f>
        <v>1408500.94</v>
      </c>
      <c r="H193" s="47">
        <f>H112+H140+H169+H192</f>
        <v>1502103.6600000001</v>
      </c>
      <c r="I193" s="47">
        <f>I112+I140+I169+I192</f>
        <v>0</v>
      </c>
      <c r="J193" s="47">
        <f>J112+J140+J192</f>
        <v>600070.93000000005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6623697.23+177562.43-0.07</f>
        <v>6801259.5899999999</v>
      </c>
      <c r="G197" s="18">
        <v>3657536.85</v>
      </c>
      <c r="H197" s="18">
        <f>429.41+90.48+686+280.96+169+195+127.75+49.64+691.52</f>
        <v>2719.76</v>
      </c>
      <c r="I197" s="18">
        <f>13345.93+32357.69+31601.73+24084.58+1523.1+13680.69+3200.12+18821.24+1178.22+2692+6639.12+1724.31+13351.72+1007.78+2183.54+8379.11+2535.85+19675.61+1110.63+2365.3+4789.36+1187.28+14241.09+65207.6-0.02</f>
        <v>286883.57999999996</v>
      </c>
      <c r="J197" s="18">
        <f>823.25+3365.44+735.25</f>
        <v>4923.9400000000005</v>
      </c>
      <c r="K197" s="18"/>
      <c r="L197" s="19">
        <f>SUM(F197:K197)</f>
        <v>10753323.719999999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257580.1+3260972.86+308194.46+181419.06</f>
        <v>4008166.48</v>
      </c>
      <c r="G198" s="18">
        <v>2104617.2999999998</v>
      </c>
      <c r="H198" s="18">
        <f>407512.21+2240+18413.29</f>
        <v>428165.5</v>
      </c>
      <c r="I198" s="18">
        <f>5798.14+3845.99+236.56+1275.55+1677.2+1378.78+9586.98</f>
        <v>23799.200000000001</v>
      </c>
      <c r="J198" s="18">
        <f>5366.84+1427.11+161.88+3143.29+289.44</f>
        <v>10388.56</v>
      </c>
      <c r="K198" s="18">
        <f>775+230+205+2245</f>
        <v>3455</v>
      </c>
      <c r="L198" s="19">
        <f>SUM(F198:K198)</f>
        <v>6578592.0399999991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33746+6957+20529.37+32744.27</f>
        <v>93976.639999999999</v>
      </c>
      <c r="G200" s="18">
        <v>45230.98</v>
      </c>
      <c r="H200" s="18"/>
      <c r="I200" s="18">
        <f>873.74</f>
        <v>873.74</v>
      </c>
      <c r="J200" s="18"/>
      <c r="K200" s="18"/>
      <c r="L200" s="19">
        <f>SUM(F200:K200)</f>
        <v>140081.35999999999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272150.21+252576.1+669934.84+1520.25+776602.87</f>
        <v>1972784.27</v>
      </c>
      <c r="G202" s="18">
        <v>1053931.45</v>
      </c>
      <c r="H202" s="18">
        <f>110740.44</f>
        <v>110740.44</v>
      </c>
      <c r="I202" s="18">
        <f>557.95+446.58+478.22+538.98+2336.41+1761.04+2400.65+610.47</f>
        <v>9130.2999999999993</v>
      </c>
      <c r="J202" s="18"/>
      <c r="K202" s="18">
        <f>69</f>
        <v>69</v>
      </c>
      <c r="L202" s="19">
        <f t="shared" ref="L202:L208" si="0">SUM(F202:K202)</f>
        <v>3146655.4599999995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43769.04+312538.73+57111.52</f>
        <v>413419.29</v>
      </c>
      <c r="G203" s="18">
        <f>148923.89+1794.71+224789.51</f>
        <v>375508.11</v>
      </c>
      <c r="H203" s="18">
        <f>3974+9456.83</f>
        <v>13430.83</v>
      </c>
      <c r="I203" s="18">
        <f>901.55+1498.19+2126.96+1381.51+2928.94+11726.17+10208.08+11418.93+195+195+195+1656.91</f>
        <v>44432.240000000005</v>
      </c>
      <c r="J203" s="18">
        <f>12734.09</f>
        <v>12734.09</v>
      </c>
      <c r="K203" s="18">
        <f>889.67</f>
        <v>889.67</v>
      </c>
      <c r="L203" s="19">
        <f t="shared" si="0"/>
        <v>860414.22999999986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169877.81</f>
        <v>169877.81</v>
      </c>
      <c r="G204" s="18">
        <v>99681.48</v>
      </c>
      <c r="H204" s="18">
        <f>199401.13</f>
        <v>199401.13</v>
      </c>
      <c r="I204" s="18">
        <f>15962.59</f>
        <v>15962.59</v>
      </c>
      <c r="J204" s="18">
        <f>356.04</f>
        <v>356.04</v>
      </c>
      <c r="K204" s="18">
        <f>7671.95</f>
        <v>7671.95</v>
      </c>
      <c r="L204" s="19">
        <f t="shared" si="0"/>
        <v>492951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848876.94+3076.44</f>
        <v>851953.37999999989</v>
      </c>
      <c r="G205" s="18">
        <v>445631.13</v>
      </c>
      <c r="H205" s="18">
        <f>2006.28+1724.08+2420.31+2280.48+477.68+239.97+222.65+322.8+476.95+2311.52+4016.04+1643.05</f>
        <v>18141.809999999998</v>
      </c>
      <c r="I205" s="18">
        <f>285.14+1232.88+742.61</f>
        <v>2260.63</v>
      </c>
      <c r="J205" s="18"/>
      <c r="K205" s="18">
        <f>949+1560+2018+1999</f>
        <v>6526</v>
      </c>
      <c r="L205" s="19">
        <f t="shared" si="0"/>
        <v>1324512.9499999997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247059.6</f>
        <v>247059.6</v>
      </c>
      <c r="G206" s="18">
        <v>127863.45</v>
      </c>
      <c r="H206" s="18">
        <f>17606.81</f>
        <v>17606.810000000001</v>
      </c>
      <c r="I206" s="18"/>
      <c r="J206" s="18"/>
      <c r="K206" s="18"/>
      <c r="L206" s="19">
        <f t="shared" si="0"/>
        <v>392529.86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704598.81+273730.77</f>
        <v>978329.58000000007</v>
      </c>
      <c r="G207" s="18">
        <v>473935.12</v>
      </c>
      <c r="H207" s="18">
        <f>215+1457.16+291.7+2160.99+304.11+1236.99+1043.57+2748.99+3031+4954.88+6274.03+5109.36+8989.52+4291.99+9413.36+604.8+2401.56+2066.4+2100+30134.8+30057.73+20445.52+28016.61+7923.5+8523.48+5740.5+8368.49+280715.42</f>
        <v>478621.45999999996</v>
      </c>
      <c r="I207" s="18">
        <f>10815.54+16357.86+12488.05+21415.43+730+2170.05+722+623+14159.68+29649.93+24119.06+23460.84+54159.17+44674.26+57111.05+38051.88+12731.59</f>
        <v>363439.39</v>
      </c>
      <c r="J207" s="18">
        <f>415.2+504.28+289.95+533.64+982.2+1552+5966.64</f>
        <v>10243.91</v>
      </c>
      <c r="K207" s="18">
        <f>266.08</f>
        <v>266.08</v>
      </c>
      <c r="L207" s="19">
        <f t="shared" si="0"/>
        <v>2304835.5400000005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1667200.87</f>
        <v>1667200.87</v>
      </c>
      <c r="I208" s="18"/>
      <c r="J208" s="18"/>
      <c r="K208" s="18"/>
      <c r="L208" s="19">
        <f t="shared" si="0"/>
        <v>1667200.87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f>196249.08</f>
        <v>196249.08</v>
      </c>
      <c r="G209" s="18">
        <v>94573.87</v>
      </c>
      <c r="H209" s="18">
        <f>242102.9</f>
        <v>242102.9</v>
      </c>
      <c r="I209" s="18">
        <f>22856.19</f>
        <v>22856.19</v>
      </c>
      <c r="J209" s="18">
        <f>207515.36</f>
        <v>207515.36</v>
      </c>
      <c r="K209" s="18"/>
      <c r="L209" s="19">
        <f>SUM(F209:K209)</f>
        <v>763297.39999999991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15733075.720000001</v>
      </c>
      <c r="G211" s="41">
        <f t="shared" si="1"/>
        <v>8478509.7400000021</v>
      </c>
      <c r="H211" s="41">
        <f t="shared" si="1"/>
        <v>3178131.5100000002</v>
      </c>
      <c r="I211" s="41">
        <f t="shared" si="1"/>
        <v>769637.85999999987</v>
      </c>
      <c r="J211" s="41">
        <f t="shared" si="1"/>
        <v>246161.9</v>
      </c>
      <c r="K211" s="41">
        <f t="shared" si="1"/>
        <v>18877.7</v>
      </c>
      <c r="L211" s="41">
        <f t="shared" si="1"/>
        <v>28424394.429999996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4266271.56+96774.64</f>
        <v>4363046.1999999993</v>
      </c>
      <c r="G215" s="18">
        <v>2137207.23</v>
      </c>
      <c r="H215" s="18">
        <f>3875.93+17926.22+2895+1178.09</f>
        <v>25875.24</v>
      </c>
      <c r="I215" s="18">
        <f>12040.11+3359.61+752.03+521.68+1933.78+4329.06+4073.53+2992.12+11578.79+8672.62+1453.09+675.68+27584.68+418.28+212.89+422.91+13101.02+33.54+958.07+1292.45+1276.15+2739+11065.08</f>
        <v>111486.17</v>
      </c>
      <c r="J215" s="18">
        <f>444.41+6412.48</f>
        <v>6856.8899999999994</v>
      </c>
      <c r="K215" s="18"/>
      <c r="L215" s="19">
        <f>SUM(F215:K215)</f>
        <v>6644471.7299999995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117161.7+1383734.62+135551+71147.97</f>
        <v>1707595.29</v>
      </c>
      <c r="G216" s="18">
        <v>908583.76</v>
      </c>
      <c r="H216" s="18">
        <f>366704.48+11011.76</f>
        <v>377716.24</v>
      </c>
      <c r="I216" s="18">
        <f>3470.43+2778.46+5833.27</f>
        <v>12082.16</v>
      </c>
      <c r="J216" s="18">
        <f>1382.05</f>
        <v>1382.05</v>
      </c>
      <c r="K216" s="18">
        <f>645+2245</f>
        <v>2890</v>
      </c>
      <c r="L216" s="19">
        <f>SUM(F216:K216)</f>
        <v>3010249.5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46086+693+85707.76+4816+46225.33</f>
        <v>183528.09000000003</v>
      </c>
      <c r="G218" s="18">
        <v>88406.01</v>
      </c>
      <c r="H218" s="18">
        <f>10532</f>
        <v>10532</v>
      </c>
      <c r="I218" s="18">
        <f>1357.99+1000+105.53</f>
        <v>2463.52</v>
      </c>
      <c r="J218" s="18">
        <f>5753.28</f>
        <v>5753.28</v>
      </c>
      <c r="K218" s="18">
        <f>2277.5</f>
        <v>2277.5</v>
      </c>
      <c r="L218" s="19">
        <f>SUM(F218:K218)</f>
        <v>292960.40000000008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39692.86+234662.94+76270.19+50316.95+83813.32+180953.49</f>
        <v>665709.75</v>
      </c>
      <c r="G220" s="18">
        <v>327612.78000000003</v>
      </c>
      <c r="H220" s="18">
        <f>141442.5</f>
        <v>141442.5</v>
      </c>
      <c r="I220" s="18">
        <f>100.98+96.08+9544.37+533.04+2785.79+326.53</f>
        <v>13386.790000000003</v>
      </c>
      <c r="J220" s="18"/>
      <c r="K220" s="18"/>
      <c r="L220" s="19">
        <f t="shared" ref="L220:L226" si="2">SUM(F220:K220)</f>
        <v>1148151.82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16013.46+167643.48+30548.02</f>
        <v>214204.96</v>
      </c>
      <c r="G221" s="18">
        <f>52567.28+959.96+145821.42</f>
        <v>199348.66</v>
      </c>
      <c r="H221" s="18">
        <f>46+5058.3</f>
        <v>5104.3</v>
      </c>
      <c r="I221" s="18">
        <f>1550.11+23632.64+273+886.26</f>
        <v>26342.01</v>
      </c>
      <c r="J221" s="18">
        <f>5216.23</f>
        <v>5216.2299999999996</v>
      </c>
      <c r="K221" s="18">
        <f>475.87</f>
        <v>475.87</v>
      </c>
      <c r="L221" s="19">
        <f t="shared" si="2"/>
        <v>450692.02999999997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90864.87</f>
        <v>90864.87</v>
      </c>
      <c r="G222" s="18">
        <v>53265.84</v>
      </c>
      <c r="H222" s="18">
        <f>88428.1</f>
        <v>88428.1</v>
      </c>
      <c r="I222" s="18">
        <f>8538.13</f>
        <v>8538.1299999999992</v>
      </c>
      <c r="J222" s="18">
        <f>190.44</f>
        <v>190.44</v>
      </c>
      <c r="K222" s="18">
        <f>4103.6</f>
        <v>4103.6000000000004</v>
      </c>
      <c r="L222" s="19">
        <f t="shared" si="2"/>
        <v>245390.98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422949.41+1645.54</f>
        <v>424594.94999999995</v>
      </c>
      <c r="G223" s="18">
        <v>245843.46</v>
      </c>
      <c r="H223" s="18">
        <f>5124.64+3054.2+1395.38+878.84</f>
        <v>10453.060000000001</v>
      </c>
      <c r="I223" s="18">
        <f>123.09</f>
        <v>123.09</v>
      </c>
      <c r="J223" s="18"/>
      <c r="K223" s="18">
        <f>5552.88</f>
        <v>5552.88</v>
      </c>
      <c r="L223" s="19">
        <f t="shared" si="2"/>
        <v>686567.44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f>132148.16</f>
        <v>132148.16</v>
      </c>
      <c r="G224" s="18">
        <v>68443.820000000007</v>
      </c>
      <c r="H224" s="18">
        <f>9417.6</f>
        <v>9417.6</v>
      </c>
      <c r="I224" s="18"/>
      <c r="J224" s="18"/>
      <c r="K224" s="18"/>
      <c r="L224" s="19">
        <f t="shared" si="2"/>
        <v>210009.58000000002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452459.18+178455.43</f>
        <v>630914.61</v>
      </c>
      <c r="G225" s="18">
        <v>305503.34000000003</v>
      </c>
      <c r="H225" s="18">
        <f>589.96+6374.43+11955.28+3434.76+39283.03+10770.5+196000.8</f>
        <v>268408.76</v>
      </c>
      <c r="I225" s="18">
        <f>25062.08+3407.65+46119.02+99026.87+7023.14</f>
        <v>180638.76</v>
      </c>
      <c r="J225" s="18">
        <f>499+3455.63+3977.76</f>
        <v>7932.39</v>
      </c>
      <c r="K225" s="18">
        <f>142.32</f>
        <v>142.32</v>
      </c>
      <c r="L225" s="19">
        <f t="shared" si="2"/>
        <v>1393540.18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18537.27+1375.35+810821.85</f>
        <v>830734.47</v>
      </c>
      <c r="I226" s="18"/>
      <c r="J226" s="18"/>
      <c r="K226" s="18"/>
      <c r="L226" s="19">
        <f t="shared" si="2"/>
        <v>830734.47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f>104970.44</f>
        <v>104970.44</v>
      </c>
      <c r="G227" s="18">
        <v>50651.22</v>
      </c>
      <c r="H227" s="18">
        <f>141296.14</f>
        <v>141296.14000000001</v>
      </c>
      <c r="I227" s="18">
        <f>12225.4</f>
        <v>12225.4</v>
      </c>
      <c r="J227" s="18">
        <f>127861.26</f>
        <v>127861.26</v>
      </c>
      <c r="K227" s="18"/>
      <c r="L227" s="19">
        <f>SUM(F227:K227)</f>
        <v>437004.46000000008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8517577.3199999984</v>
      </c>
      <c r="G229" s="41">
        <f>SUM(G215:G228)</f>
        <v>4384866.12</v>
      </c>
      <c r="H229" s="41">
        <f>SUM(H215:H228)</f>
        <v>1909408.4100000001</v>
      </c>
      <c r="I229" s="41">
        <f>SUM(I215:I228)</f>
        <v>367286.03</v>
      </c>
      <c r="J229" s="41">
        <f>SUM(J215:J228)</f>
        <v>155192.53999999998</v>
      </c>
      <c r="K229" s="41">
        <f t="shared" si="3"/>
        <v>15442.170000000002</v>
      </c>
      <c r="L229" s="41">
        <f t="shared" si="3"/>
        <v>15349772.590000002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6700550+251725.75</f>
        <v>6952275.75</v>
      </c>
      <c r="G233" s="18">
        <f>3395042.93+0.01</f>
        <v>3395042.94</v>
      </c>
      <c r="H233" s="18">
        <f>1844.17+3916.28+2500+117.72+5335.28</f>
        <v>13713.45</v>
      </c>
      <c r="I233" s="18">
        <f>18813.18+1450+1229.63+799.98+1183.41+2700+8783.74+27164.59+780.61+12912.51+36718.03+750.34+71.54+64025.88+439+170.01+2998.06+4229.7+282.78+211.81+164.45+13948.69+350.58+3481.91+5689.99+32759.44-0.03+0.01</f>
        <v>242109.84</v>
      </c>
      <c r="J233" s="18">
        <f>386.66+3519.09+22246.62</f>
        <v>26152.37</v>
      </c>
      <c r="K233" s="18">
        <f>580.5+2740</f>
        <v>3320.5</v>
      </c>
      <c r="L233" s="19">
        <f>SUM(F233:K233)</f>
        <v>10632614.849999998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124854.09+1611921.52+87985.33</f>
        <v>1824760.9400000002</v>
      </c>
      <c r="G234" s="18">
        <v>1109767.28</v>
      </c>
      <c r="H234" s="18">
        <f>1046318.53+5375+18068.86+12582.6-7585.5</f>
        <v>1074759.4900000002</v>
      </c>
      <c r="I234" s="18">
        <f>5123.05+6183.07</f>
        <v>11306.119999999999</v>
      </c>
      <c r="J234" s="18">
        <f>6595.95</f>
        <v>6595.95</v>
      </c>
      <c r="K234" s="18">
        <f>389</f>
        <v>389</v>
      </c>
      <c r="L234" s="19">
        <f>SUM(F234:K234)</f>
        <v>4027578.7800000007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94430.7</f>
        <v>94430.7</v>
      </c>
      <c r="I235" s="18"/>
      <c r="J235" s="18"/>
      <c r="K235" s="18"/>
      <c r="L235" s="19">
        <f>SUM(F235:K235)</f>
        <v>94430.7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80962.5+461009.34+26064+70025.51</f>
        <v>638061.35000000009</v>
      </c>
      <c r="G236" s="18">
        <v>312658.53000000003</v>
      </c>
      <c r="H236" s="18">
        <f>3870+290+54043.92+9252.46+63310</f>
        <v>130766.38</v>
      </c>
      <c r="I236" s="18">
        <f>12601.5+27087.94+1825+527.65</f>
        <v>42042.090000000004</v>
      </c>
      <c r="J236" s="18">
        <f>7252.49+7963+17259.84</f>
        <v>32475.33</v>
      </c>
      <c r="K236" s="18">
        <f>1629.95+33823.05</f>
        <v>35453</v>
      </c>
      <c r="L236" s="19">
        <f>SUM(F236:K236)</f>
        <v>1191456.6800000004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145582.4+613023.92+103903.04+69831.06+118729.87</f>
        <v>1051070.29</v>
      </c>
      <c r="G238" s="18">
        <v>634707.72</v>
      </c>
      <c r="H238" s="18">
        <f>841.46+376.21+370.63+4550.02+1502.94+25281.79+206167.41</f>
        <v>239090.46000000002</v>
      </c>
      <c r="I238" s="18">
        <f>912.5+1230.33+482.7</f>
        <v>2625.5299999999997</v>
      </c>
      <c r="J238" s="18"/>
      <c r="K238" s="18">
        <f>2849+2000</f>
        <v>4849</v>
      </c>
      <c r="L238" s="19">
        <f t="shared" ref="L238:L244" si="4">SUM(F238:K238)</f>
        <v>1932343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19965+278484.42+45157.95</f>
        <v>343607.37</v>
      </c>
      <c r="G239" s="18">
        <f>83122.09+1419.08+165597.73</f>
        <v>250138.90000000002</v>
      </c>
      <c r="H239" s="18">
        <f>20+7477.49</f>
        <v>7497.49</v>
      </c>
      <c r="I239" s="18">
        <f>2611.28+53557.34+2727.75+1310.12</f>
        <v>60206.49</v>
      </c>
      <c r="J239" s="18">
        <f>9408.95</f>
        <v>9408.9500000000007</v>
      </c>
      <c r="K239" s="18">
        <f>703.46</f>
        <v>703.46</v>
      </c>
      <c r="L239" s="19">
        <f t="shared" si="4"/>
        <v>671562.65999999992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134321.99</f>
        <v>134321.99</v>
      </c>
      <c r="G240" s="18">
        <v>78757.06</v>
      </c>
      <c r="H240" s="18">
        <f>206075.71</f>
        <v>206075.71</v>
      </c>
      <c r="I240" s="18">
        <f>12621.59</f>
        <v>12621.59</v>
      </c>
      <c r="J240" s="18">
        <f>281.52</f>
        <v>281.52</v>
      </c>
      <c r="K240" s="18">
        <f>6066.2</f>
        <v>6066.2</v>
      </c>
      <c r="L240" s="19">
        <f t="shared" si="4"/>
        <v>438124.07000000007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844380.52+2432.53</f>
        <v>846813.05</v>
      </c>
      <c r="G241" s="18">
        <v>444163.36</v>
      </c>
      <c r="H241" s="18">
        <f>4085+7783.82+2841.65+18021.06+1299.15</f>
        <v>34030.68</v>
      </c>
      <c r="I241" s="18">
        <f>387.98+9840.47</f>
        <v>10228.449999999999</v>
      </c>
      <c r="J241" s="18"/>
      <c r="K241" s="18">
        <f>4044</f>
        <v>4044</v>
      </c>
      <c r="L241" s="19">
        <f t="shared" si="4"/>
        <v>1339279.54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f>195349.45</f>
        <v>195349.45</v>
      </c>
      <c r="G242" s="18">
        <v>101161.56</v>
      </c>
      <c r="H242" s="18">
        <f>13921.66</f>
        <v>13921.66</v>
      </c>
      <c r="I242" s="18"/>
      <c r="J242" s="18"/>
      <c r="K242" s="18"/>
      <c r="L242" s="19">
        <f t="shared" si="4"/>
        <v>310432.67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692627.53+283482.23</f>
        <v>976109.76</v>
      </c>
      <c r="G243" s="18">
        <v>476944.69</v>
      </c>
      <c r="H243" s="18">
        <f>1770.28+1367.57+14674.75+21520.24+6099.12+114503.82+18476.75+281207.84</f>
        <v>459620.37</v>
      </c>
      <c r="I243" s="18">
        <f>88820.01+46106.3+105006.65+251924.92+10473.18</f>
        <v>502331.06</v>
      </c>
      <c r="J243" s="18">
        <f>1996.78+1328.96+9944.4</f>
        <v>13270.14</v>
      </c>
      <c r="K243" s="18">
        <f>210.39</f>
        <v>210.39</v>
      </c>
      <c r="L243" s="19">
        <f t="shared" si="4"/>
        <v>2428486.41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96807.52+411.64+14055.96+858343.88</f>
        <v>969619</v>
      </c>
      <c r="I244" s="18"/>
      <c r="J244" s="18"/>
      <c r="K244" s="18"/>
      <c r="L244" s="19">
        <f t="shared" si="4"/>
        <v>969619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f>155173.69</f>
        <v>155173.69</v>
      </c>
      <c r="G245" s="18">
        <v>74761.95</v>
      </c>
      <c r="H245" s="18">
        <f>269860.4</f>
        <v>269860.40000000002</v>
      </c>
      <c r="I245" s="18">
        <f>18072.33</f>
        <v>18072.330000000002</v>
      </c>
      <c r="J245" s="18">
        <f>157769.66</f>
        <v>157769.66</v>
      </c>
      <c r="K245" s="18"/>
      <c r="L245" s="19">
        <f>SUM(F245:K245)</f>
        <v>675638.03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13117543.639999997</v>
      </c>
      <c r="G247" s="41">
        <f t="shared" si="5"/>
        <v>6878103.9900000002</v>
      </c>
      <c r="H247" s="41">
        <f t="shared" si="5"/>
        <v>3513385.7899999996</v>
      </c>
      <c r="I247" s="41">
        <f t="shared" si="5"/>
        <v>901543.5</v>
      </c>
      <c r="J247" s="41">
        <f t="shared" si="5"/>
        <v>245953.92000000001</v>
      </c>
      <c r="K247" s="41">
        <f t="shared" si="5"/>
        <v>55035.549999999996</v>
      </c>
      <c r="L247" s="41">
        <f t="shared" si="5"/>
        <v>24711566.390000001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26238.799999999999</v>
      </c>
      <c r="G251" s="18">
        <v>22615.49</v>
      </c>
      <c r="H251" s="18">
        <f>5000</f>
        <v>5000</v>
      </c>
      <c r="I251" s="18">
        <f>434.47+364.09</f>
        <v>798.56</v>
      </c>
      <c r="J251" s="18"/>
      <c r="K251" s="18"/>
      <c r="L251" s="19">
        <f t="shared" si="6"/>
        <v>54652.85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26238.799999999999</v>
      </c>
      <c r="G256" s="41">
        <f t="shared" si="7"/>
        <v>22615.49</v>
      </c>
      <c r="H256" s="41">
        <f t="shared" si="7"/>
        <v>5000</v>
      </c>
      <c r="I256" s="41">
        <f t="shared" si="7"/>
        <v>798.56</v>
      </c>
      <c r="J256" s="41">
        <f t="shared" si="7"/>
        <v>0</v>
      </c>
      <c r="K256" s="41">
        <f t="shared" si="7"/>
        <v>0</v>
      </c>
      <c r="L256" s="41">
        <f>SUM(F256:K256)</f>
        <v>54652.85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37394435.479999989</v>
      </c>
      <c r="G257" s="41">
        <f t="shared" si="8"/>
        <v>19764095.34</v>
      </c>
      <c r="H257" s="41">
        <f t="shared" si="8"/>
        <v>8605925.709999999</v>
      </c>
      <c r="I257" s="41">
        <f t="shared" si="8"/>
        <v>2039265.95</v>
      </c>
      <c r="J257" s="41">
        <f t="shared" si="8"/>
        <v>647308.36</v>
      </c>
      <c r="K257" s="41">
        <f t="shared" si="8"/>
        <v>89355.42</v>
      </c>
      <c r="L257" s="41">
        <f t="shared" si="8"/>
        <v>68540386.25999999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2105000</v>
      </c>
      <c r="L260" s="19">
        <f>SUM(F260:K260)</f>
        <v>2105000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607143.79</v>
      </c>
      <c r="L261" s="19">
        <f>SUM(F261:K261)</f>
        <v>607143.79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52808.52</v>
      </c>
      <c r="L263" s="19">
        <f>SUM(F263:K263)</f>
        <v>52808.52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600000</v>
      </c>
      <c r="L266" s="19">
        <f t="shared" si="9"/>
        <v>600000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7585.5</v>
      </c>
      <c r="L268" s="19">
        <f t="shared" si="9"/>
        <v>7585.5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3372537.81</v>
      </c>
      <c r="L270" s="41">
        <f t="shared" si="9"/>
        <v>3372537.81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37394435.479999989</v>
      </c>
      <c r="G271" s="42">
        <f t="shared" si="11"/>
        <v>19764095.34</v>
      </c>
      <c r="H271" s="42">
        <f t="shared" si="11"/>
        <v>8605925.709999999</v>
      </c>
      <c r="I271" s="42">
        <f t="shared" si="11"/>
        <v>2039265.95</v>
      </c>
      <c r="J271" s="42">
        <f t="shared" si="11"/>
        <v>647308.36</v>
      </c>
      <c r="K271" s="42">
        <f t="shared" si="11"/>
        <v>3461893.23</v>
      </c>
      <c r="L271" s="42">
        <f t="shared" si="11"/>
        <v>71912924.069999993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306277.13</v>
      </c>
      <c r="G276" s="18">
        <v>39406.22</v>
      </c>
      <c r="H276" s="18">
        <v>2940</v>
      </c>
      <c r="I276" s="18">
        <v>382.09</v>
      </c>
      <c r="J276" s="18">
        <v>2093</v>
      </c>
      <c r="K276" s="18"/>
      <c r="L276" s="19">
        <f>SUM(F276:K276)</f>
        <v>351098.44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328038.64</v>
      </c>
      <c r="G277" s="18"/>
      <c r="H277" s="18"/>
      <c r="I277" s="18">
        <v>1560.3</v>
      </c>
      <c r="J277" s="18"/>
      <c r="K277" s="18"/>
      <c r="L277" s="19">
        <f>SUM(F277:K277)</f>
        <v>329598.94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70928.26+17776.45+15876.77+26830.31</f>
        <v>131411.79</v>
      </c>
      <c r="G281" s="18"/>
      <c r="H281" s="18"/>
      <c r="I281" s="18"/>
      <c r="J281" s="18"/>
      <c r="K281" s="18"/>
      <c r="L281" s="19">
        <f t="shared" ref="L281:L287" si="12">SUM(F281:K281)</f>
        <v>131411.79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765727.56</v>
      </c>
      <c r="G290" s="42">
        <f t="shared" si="13"/>
        <v>39406.22</v>
      </c>
      <c r="H290" s="42">
        <f t="shared" si="13"/>
        <v>2940</v>
      </c>
      <c r="I290" s="42">
        <f t="shared" si="13"/>
        <v>1942.3899999999999</v>
      </c>
      <c r="J290" s="42">
        <f t="shared" si="13"/>
        <v>2093</v>
      </c>
      <c r="K290" s="42">
        <f t="shared" si="13"/>
        <v>0</v>
      </c>
      <c r="L290" s="41">
        <f t="shared" si="13"/>
        <v>812109.17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>
        <v>1400.64</v>
      </c>
      <c r="J295" s="18"/>
      <c r="K295" s="18"/>
      <c r="L295" s="19">
        <f>SUM(F295:K295)</f>
        <v>1400.64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99744.12</v>
      </c>
      <c r="G296" s="18"/>
      <c r="H296" s="18"/>
      <c r="I296" s="18"/>
      <c r="J296" s="18"/>
      <c r="K296" s="18"/>
      <c r="L296" s="19">
        <f>SUM(F296:K296)</f>
        <v>99744.12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99744.12</v>
      </c>
      <c r="G309" s="42">
        <f t="shared" si="15"/>
        <v>0</v>
      </c>
      <c r="H309" s="42">
        <f t="shared" si="15"/>
        <v>0</v>
      </c>
      <c r="I309" s="42">
        <f t="shared" si="15"/>
        <v>1400.64</v>
      </c>
      <c r="J309" s="42">
        <f t="shared" si="15"/>
        <v>0</v>
      </c>
      <c r="K309" s="42">
        <f t="shared" si="15"/>
        <v>0</v>
      </c>
      <c r="L309" s="41">
        <f t="shared" si="15"/>
        <v>101144.76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424534.88</v>
      </c>
      <c r="G315" s="18"/>
      <c r="H315" s="18"/>
      <c r="I315" s="18">
        <f>1967.56+649.42+12500</f>
        <v>15116.98</v>
      </c>
      <c r="J315" s="18">
        <v>15853.86</v>
      </c>
      <c r="K315" s="18"/>
      <c r="L315" s="19">
        <f>SUM(F315:K315)</f>
        <v>455505.72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86667.1</v>
      </c>
      <c r="G319" s="18"/>
      <c r="H319" s="18"/>
      <c r="I319" s="18"/>
      <c r="J319" s="18"/>
      <c r="K319" s="18"/>
      <c r="L319" s="19">
        <f t="shared" ref="L319:L325" si="16">SUM(F319:K319)</f>
        <v>86667.1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>
        <v>1692.8</v>
      </c>
      <c r="J320" s="18"/>
      <c r="K320" s="18"/>
      <c r="L320" s="19">
        <f t="shared" si="16"/>
        <v>1692.8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>
        <v>12500</v>
      </c>
      <c r="I321" s="18"/>
      <c r="J321" s="18"/>
      <c r="K321" s="18"/>
      <c r="L321" s="19">
        <f t="shared" si="16"/>
        <v>12500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511201.98</v>
      </c>
      <c r="G328" s="42">
        <f t="shared" si="17"/>
        <v>0</v>
      </c>
      <c r="H328" s="42">
        <f t="shared" si="17"/>
        <v>12500</v>
      </c>
      <c r="I328" s="42">
        <f t="shared" si="17"/>
        <v>16809.78</v>
      </c>
      <c r="J328" s="42">
        <f t="shared" si="17"/>
        <v>15853.86</v>
      </c>
      <c r="K328" s="42">
        <f t="shared" si="17"/>
        <v>0</v>
      </c>
      <c r="L328" s="41">
        <f t="shared" si="17"/>
        <v>556365.62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20720</v>
      </c>
      <c r="G333" s="18">
        <v>4690.12</v>
      </c>
      <c r="H333" s="18"/>
      <c r="I333" s="18"/>
      <c r="J333" s="18"/>
      <c r="K333" s="18"/>
      <c r="L333" s="19">
        <f t="shared" si="18"/>
        <v>25410.12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20720</v>
      </c>
      <c r="G337" s="41">
        <f t="shared" si="19"/>
        <v>4690.12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25410.12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1397393.6600000001</v>
      </c>
      <c r="G338" s="41">
        <f t="shared" si="20"/>
        <v>44096.340000000004</v>
      </c>
      <c r="H338" s="41">
        <f t="shared" si="20"/>
        <v>15440</v>
      </c>
      <c r="I338" s="41">
        <f t="shared" si="20"/>
        <v>20152.809999999998</v>
      </c>
      <c r="J338" s="41">
        <f t="shared" si="20"/>
        <v>17946.86</v>
      </c>
      <c r="K338" s="41">
        <f t="shared" si="20"/>
        <v>0</v>
      </c>
      <c r="L338" s="41">
        <f t="shared" si="20"/>
        <v>1495029.6700000002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1397393.6600000001</v>
      </c>
      <c r="G352" s="41">
        <f>G338</f>
        <v>44096.340000000004</v>
      </c>
      <c r="H352" s="41">
        <f>H338</f>
        <v>15440</v>
      </c>
      <c r="I352" s="41">
        <f>I338</f>
        <v>20152.809999999998</v>
      </c>
      <c r="J352" s="41">
        <f>J338</f>
        <v>17946.86</v>
      </c>
      <c r="K352" s="47">
        <f>K338+K351</f>
        <v>0</v>
      </c>
      <c r="L352" s="41">
        <f>L338+L351</f>
        <v>1495029.6700000002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23719.26+149154.48</f>
        <v>172873.74000000002</v>
      </c>
      <c r="G358" s="18">
        <v>25215.34</v>
      </c>
      <c r="H358" s="18">
        <v>8224.86</v>
      </c>
      <c r="I358" s="18">
        <v>222576.06</v>
      </c>
      <c r="J358" s="18">
        <v>15129</v>
      </c>
      <c r="K358" s="18">
        <v>529.33000000000004</v>
      </c>
      <c r="L358" s="13">
        <f>SUM(F358:K358)</f>
        <v>444548.33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20556.69+115498.71</f>
        <v>136055.4</v>
      </c>
      <c r="G359" s="18">
        <v>20487.46</v>
      </c>
      <c r="H359" s="18">
        <v>7128.21</v>
      </c>
      <c r="I359" s="18">
        <v>192899.25</v>
      </c>
      <c r="J359" s="18">
        <v>625</v>
      </c>
      <c r="K359" s="18">
        <v>458.75</v>
      </c>
      <c r="L359" s="19">
        <f>SUM(F359:K359)</f>
        <v>357654.06999999995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34788.25+59050.04+128798.67</f>
        <v>222636.96000000002</v>
      </c>
      <c r="G360" s="18">
        <v>33095.129999999997</v>
      </c>
      <c r="H360" s="18">
        <v>12063.13</v>
      </c>
      <c r="I360" s="18">
        <v>326444.90000000002</v>
      </c>
      <c r="J360" s="18">
        <v>3184</v>
      </c>
      <c r="K360" s="18">
        <v>776.35</v>
      </c>
      <c r="L360" s="19">
        <f>SUM(F360:K360)</f>
        <v>598200.47000000009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531566.10000000009</v>
      </c>
      <c r="G362" s="47">
        <f t="shared" si="22"/>
        <v>78797.929999999993</v>
      </c>
      <c r="H362" s="47">
        <f t="shared" si="22"/>
        <v>27416.199999999997</v>
      </c>
      <c r="I362" s="47">
        <f t="shared" si="22"/>
        <v>741920.21</v>
      </c>
      <c r="J362" s="47">
        <f t="shared" si="22"/>
        <v>18938</v>
      </c>
      <c r="K362" s="47">
        <f t="shared" si="22"/>
        <v>1764.43</v>
      </c>
      <c r="L362" s="47">
        <f t="shared" si="22"/>
        <v>1400402.87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192321.18</v>
      </c>
      <c r="G367" s="18">
        <v>166678.35999999999</v>
      </c>
      <c r="H367" s="18">
        <v>282071.06</v>
      </c>
      <c r="I367" s="56">
        <f>SUM(F367:H367)</f>
        <v>641070.6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30254.880000000001</v>
      </c>
      <c r="G368" s="63">
        <v>26220.9</v>
      </c>
      <c r="H368" s="63">
        <v>44373.83</v>
      </c>
      <c r="I368" s="56">
        <f>SUM(F368:H368)</f>
        <v>100849.61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222576.06</v>
      </c>
      <c r="G369" s="47">
        <f>SUM(G367:G368)</f>
        <v>192899.25999999998</v>
      </c>
      <c r="H369" s="47">
        <f>SUM(H367:H368)</f>
        <v>326444.89</v>
      </c>
      <c r="I369" s="47">
        <f>SUM(I367:I368)</f>
        <v>741920.21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397275</v>
      </c>
      <c r="I379" s="18"/>
      <c r="J379" s="18"/>
      <c r="K379" s="18"/>
      <c r="L379" s="13">
        <f t="shared" si="23"/>
        <v>397275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397275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397275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>
        <v>3.06</v>
      </c>
      <c r="I388" s="18"/>
      <c r="J388" s="24" t="s">
        <v>288</v>
      </c>
      <c r="K388" s="24" t="s">
        <v>288</v>
      </c>
      <c r="L388" s="56">
        <f t="shared" si="25"/>
        <v>3.06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100000</v>
      </c>
      <c r="H392" s="18">
        <v>8.8800000000000008</v>
      </c>
      <c r="I392" s="18"/>
      <c r="J392" s="24" t="s">
        <v>288</v>
      </c>
      <c r="K392" s="24" t="s">
        <v>288</v>
      </c>
      <c r="L392" s="56">
        <f t="shared" si="25"/>
        <v>100008.88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11.940000000000001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100011.94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500000</v>
      </c>
      <c r="H396" s="18">
        <v>48.46</v>
      </c>
      <c r="I396" s="18"/>
      <c r="J396" s="24" t="s">
        <v>288</v>
      </c>
      <c r="K396" s="24" t="s">
        <v>288</v>
      </c>
      <c r="L396" s="56">
        <f t="shared" si="26"/>
        <v>500048.46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10.47</v>
      </c>
      <c r="I397" s="18"/>
      <c r="J397" s="24" t="s">
        <v>288</v>
      </c>
      <c r="K397" s="24" t="s">
        <v>288</v>
      </c>
      <c r="L397" s="56">
        <f t="shared" si="26"/>
        <v>10.47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0.06</v>
      </c>
      <c r="I400" s="18"/>
      <c r="J400" s="24" t="s">
        <v>288</v>
      </c>
      <c r="K400" s="24" t="s">
        <v>288</v>
      </c>
      <c r="L400" s="56">
        <f t="shared" si="26"/>
        <v>0.06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500000</v>
      </c>
      <c r="H401" s="47">
        <f>SUM(H395:H400)</f>
        <v>58.99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500058.99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600000</v>
      </c>
      <c r="H408" s="47">
        <f>H393+H401+H407</f>
        <v>70.930000000000007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600070.92999999993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>
        <v>91992.54</v>
      </c>
      <c r="L418" s="56">
        <f t="shared" si="27"/>
        <v>91992.54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91992.54</v>
      </c>
      <c r="L419" s="47">
        <f t="shared" si="28"/>
        <v>91992.54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291666.82</v>
      </c>
      <c r="L423" s="56">
        <f t="shared" si="29"/>
        <v>291666.82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291666.82</v>
      </c>
      <c r="L427" s="47">
        <f t="shared" si="30"/>
        <v>291666.82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383659.36</v>
      </c>
      <c r="L434" s="47">
        <f t="shared" si="32"/>
        <v>383659.36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52974.78</v>
      </c>
      <c r="G439" s="18">
        <v>378594.62</v>
      </c>
      <c r="H439" s="18"/>
      <c r="I439" s="56">
        <f t="shared" ref="I439:I445" si="33">SUM(F439:H439)</f>
        <v>431569.4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52974.78</v>
      </c>
      <c r="G446" s="13">
        <f>SUM(G439:G445)</f>
        <v>378594.62</v>
      </c>
      <c r="H446" s="13">
        <f>SUM(H439:H445)</f>
        <v>0</v>
      </c>
      <c r="I446" s="13">
        <f>SUM(I439:I445)</f>
        <v>431569.4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v>22787.33</v>
      </c>
      <c r="H448" s="18"/>
      <c r="I448" s="56">
        <f>SUM(F448:H448)</f>
        <v>22787.33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22787.33</v>
      </c>
      <c r="H452" s="72">
        <f>SUM(H448:H451)</f>
        <v>0</v>
      </c>
      <c r="I452" s="72">
        <f>SUM(I448:I451)</f>
        <v>22787.33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52974.78</v>
      </c>
      <c r="G459" s="18">
        <v>355807.29</v>
      </c>
      <c r="H459" s="18"/>
      <c r="I459" s="56">
        <f t="shared" si="34"/>
        <v>408782.06999999995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52974.78</v>
      </c>
      <c r="G460" s="83">
        <f>SUM(G454:G459)</f>
        <v>355807.29</v>
      </c>
      <c r="H460" s="83">
        <f>SUM(H454:H459)</f>
        <v>0</v>
      </c>
      <c r="I460" s="83">
        <f>SUM(I454:I459)</f>
        <v>408782.06999999995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52974.78</v>
      </c>
      <c r="G461" s="42">
        <f>G452+G460</f>
        <v>378594.62</v>
      </c>
      <c r="H461" s="42">
        <f>H452+H460</f>
        <v>0</v>
      </c>
      <c r="I461" s="42">
        <f>I452+I460</f>
        <v>431569.39999999997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615052.82999999996</v>
      </c>
      <c r="G465" s="18">
        <v>67256.960000000006</v>
      </c>
      <c r="H465" s="18">
        <v>16594.11</v>
      </c>
      <c r="I465" s="18">
        <v>848159.58</v>
      </c>
      <c r="J465" s="18">
        <v>192370.5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71903944.519999996</v>
      </c>
      <c r="G468" s="18">
        <v>1408500.94</v>
      </c>
      <c r="H468" s="18">
        <v>1502103.66</v>
      </c>
      <c r="I468" s="18"/>
      <c r="J468" s="18">
        <v>600070.93000000005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71903944.519999996</v>
      </c>
      <c r="G470" s="53">
        <f>SUM(G468:G469)</f>
        <v>1408500.94</v>
      </c>
      <c r="H470" s="53">
        <f>SUM(H468:H469)</f>
        <v>1502103.66</v>
      </c>
      <c r="I470" s="53">
        <f>SUM(I468:I469)</f>
        <v>0</v>
      </c>
      <c r="J470" s="53">
        <f>SUM(J468:J469)</f>
        <v>600070.93000000005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71912924.069999993</v>
      </c>
      <c r="G472" s="18">
        <v>1400402.87</v>
      </c>
      <c r="H472" s="18">
        <v>1495029.67</v>
      </c>
      <c r="I472" s="18">
        <v>397275</v>
      </c>
      <c r="J472" s="18">
        <v>383659.36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71912924.069999993</v>
      </c>
      <c r="G474" s="53">
        <f>SUM(G472:G473)</f>
        <v>1400402.87</v>
      </c>
      <c r="H474" s="53">
        <f>SUM(H472:H473)</f>
        <v>1495029.67</v>
      </c>
      <c r="I474" s="53">
        <f>SUM(I472:I473)</f>
        <v>397275</v>
      </c>
      <c r="J474" s="53">
        <f>SUM(J472:J473)</f>
        <v>383659.36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606073.28000000119</v>
      </c>
      <c r="G476" s="53">
        <f>(G465+G470)- G474</f>
        <v>75355.029999999795</v>
      </c>
      <c r="H476" s="53">
        <f>(H465+H470)- H474</f>
        <v>23668.100000000093</v>
      </c>
      <c r="I476" s="53">
        <f>(I465+I470)- I474</f>
        <v>450884.57999999996</v>
      </c>
      <c r="J476" s="53">
        <f>(J465+J470)- J474</f>
        <v>408782.07000000007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10</v>
      </c>
      <c r="H490" s="154">
        <v>20</v>
      </c>
      <c r="I490" s="154">
        <v>12</v>
      </c>
      <c r="J490" s="154">
        <v>10</v>
      </c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921</v>
      </c>
      <c r="H491" s="155" t="s">
        <v>920</v>
      </c>
      <c r="I491" s="155" t="s">
        <v>915</v>
      </c>
      <c r="J491" s="155" t="s">
        <v>917</v>
      </c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922</v>
      </c>
      <c r="H492" s="155"/>
      <c r="I492" s="155" t="s">
        <v>916</v>
      </c>
      <c r="J492" s="155" t="s">
        <v>918</v>
      </c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12030000</v>
      </c>
      <c r="G493" s="18">
        <v>2720000</v>
      </c>
      <c r="H493" s="18">
        <v>5100000</v>
      </c>
      <c r="I493" s="18">
        <v>2955000</v>
      </c>
      <c r="J493" s="18">
        <v>3895000</v>
      </c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4.57</v>
      </c>
      <c r="G494" s="18">
        <v>2.69</v>
      </c>
      <c r="H494" s="18">
        <v>4.09</v>
      </c>
      <c r="I494" s="18">
        <v>1.94</v>
      </c>
      <c r="J494" s="18">
        <v>2.14</v>
      </c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4660000</v>
      </c>
      <c r="G495" s="18">
        <v>0</v>
      </c>
      <c r="H495" s="18">
        <v>765000</v>
      </c>
      <c r="I495" s="18">
        <v>2870000</v>
      </c>
      <c r="J495" s="18">
        <v>3505000</v>
      </c>
      <c r="K495" s="53">
        <f>SUM(F495:J495)</f>
        <v>11800000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>
        <v>2720000</v>
      </c>
      <c r="H496" s="18" t="s">
        <v>919</v>
      </c>
      <c r="I496" s="18"/>
      <c r="J496" s="18"/>
      <c r="K496" s="53">
        <f t="shared" ref="K496:K503" si="35">SUM(F496:J496)</f>
        <v>2720000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670000</v>
      </c>
      <c r="G497" s="18">
        <v>0</v>
      </c>
      <c r="H497" s="18">
        <v>255000</v>
      </c>
      <c r="I497" s="18">
        <v>305000</v>
      </c>
      <c r="J497" s="18">
        <v>390000</v>
      </c>
      <c r="K497" s="53">
        <f t="shared" si="35"/>
        <v>1620000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3990000</v>
      </c>
      <c r="G498" s="204">
        <v>2720000</v>
      </c>
      <c r="H498" s="204">
        <v>510000</v>
      </c>
      <c r="I498" s="204">
        <v>2565000</v>
      </c>
      <c r="J498" s="204">
        <v>3115000</v>
      </c>
      <c r="K498" s="205">
        <f t="shared" si="35"/>
        <v>12900000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590852.5</v>
      </c>
      <c r="G499" s="18">
        <v>470059.2</v>
      </c>
      <c r="H499" s="18">
        <v>21675</v>
      </c>
      <c r="I499" s="18">
        <v>253046.94</v>
      </c>
      <c r="J499" s="18">
        <v>373275</v>
      </c>
      <c r="K499" s="53">
        <f t="shared" si="35"/>
        <v>1708908.64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4580852.5</v>
      </c>
      <c r="G500" s="42">
        <f>SUM(G498:G499)</f>
        <v>3190059.2</v>
      </c>
      <c r="H500" s="42">
        <f>SUM(H498:H499)</f>
        <v>531675</v>
      </c>
      <c r="I500" s="42">
        <f>SUM(I498:I499)</f>
        <v>2818046.94</v>
      </c>
      <c r="J500" s="42">
        <f>SUM(J498:J499)</f>
        <v>3488275</v>
      </c>
      <c r="K500" s="42">
        <f t="shared" si="35"/>
        <v>14608908.640000001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665000</v>
      </c>
      <c r="G501" s="204">
        <v>45000</v>
      </c>
      <c r="H501" s="204">
        <v>255000</v>
      </c>
      <c r="I501" s="204">
        <v>305000</v>
      </c>
      <c r="J501" s="204">
        <v>390000</v>
      </c>
      <c r="K501" s="205">
        <f t="shared" si="35"/>
        <v>1660000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178552.5</v>
      </c>
      <c r="G502" s="18">
        <v>49245.83</v>
      </c>
      <c r="H502" s="18">
        <v>16256.25</v>
      </c>
      <c r="I502" s="18">
        <v>52343.76</v>
      </c>
      <c r="J502" s="18">
        <v>87600</v>
      </c>
      <c r="K502" s="53">
        <f t="shared" si="35"/>
        <v>383998.34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843552.5</v>
      </c>
      <c r="G503" s="42">
        <f>SUM(G501:G502)</f>
        <v>94245.83</v>
      </c>
      <c r="H503" s="42">
        <f>SUM(H501:H502)</f>
        <v>271256.25</v>
      </c>
      <c r="I503" s="42">
        <f>SUM(I501:I502)</f>
        <v>357343.76</v>
      </c>
      <c r="J503" s="42">
        <f>SUM(J501:J502)</f>
        <v>477600</v>
      </c>
      <c r="K503" s="42">
        <f t="shared" si="35"/>
        <v>2043998.34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3814589</v>
      </c>
      <c r="G507" s="144"/>
      <c r="H507" s="144"/>
      <c r="I507" s="144">
        <v>4019438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2096202.34+1492809.16+20529.37+146185.86</f>
        <v>3755726.73</v>
      </c>
      <c r="G521" s="18">
        <f>F521*0.4719</f>
        <v>1772327.443887</v>
      </c>
      <c r="H521" s="18">
        <f>407512.21+2240+10823.44</f>
        <v>420575.65</v>
      </c>
      <c r="I521" s="18">
        <f>7358.44+8414.08+7832.5+0.04</f>
        <v>23605.06</v>
      </c>
      <c r="J521" s="18">
        <f>10099.12+289.44+2093</f>
        <v>12481.560000000001</v>
      </c>
      <c r="K521" s="18">
        <f>1210</f>
        <v>1210</v>
      </c>
      <c r="L521" s="88">
        <f>SUM(F521:K521)</f>
        <v>5985926.443886999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970762.68+512716.06+56570.56</f>
        <v>1540049.3</v>
      </c>
      <c r="G522" s="18">
        <f t="shared" ref="G522:G523" si="36">F522*0.4719</f>
        <v>726749.26466999995</v>
      </c>
      <c r="H522" s="18">
        <f>366704.48+6071.68</f>
        <v>372776.16</v>
      </c>
      <c r="I522" s="18">
        <f>3470.43+4262.57</f>
        <v>7733</v>
      </c>
      <c r="J522" s="18">
        <f>1382.05</f>
        <v>1382.05</v>
      </c>
      <c r="K522" s="18">
        <f>645</f>
        <v>645</v>
      </c>
      <c r="L522" s="88">
        <f>SUM(F522:K522)</f>
        <v>2649334.7746700002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1563330.83+473125.57+94992.26</f>
        <v>2131448.66</v>
      </c>
      <c r="G523" s="18">
        <f t="shared" si="36"/>
        <v>1005830.6226540001</v>
      </c>
      <c r="H523" s="18">
        <f>1046318.53-7585.5+18068.86+5375+9503.51</f>
        <v>1071680.4000000001</v>
      </c>
      <c r="I523" s="18">
        <f>5123.05+7034.32</f>
        <v>12157.369999999999</v>
      </c>
      <c r="J523" s="18">
        <f>6595.95</f>
        <v>6595.95</v>
      </c>
      <c r="K523" s="18">
        <f>389</f>
        <v>389</v>
      </c>
      <c r="L523" s="88">
        <f>SUM(F523:K523)</f>
        <v>4228102.0026540011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7427224.6900000004</v>
      </c>
      <c r="G524" s="108">
        <f t="shared" ref="G524:L524" si="37">SUM(G521:G523)</f>
        <v>3504907.3312109997</v>
      </c>
      <c r="H524" s="108">
        <f t="shared" si="37"/>
        <v>1865032.2100000002</v>
      </c>
      <c r="I524" s="108">
        <f t="shared" si="37"/>
        <v>43495.43</v>
      </c>
      <c r="J524" s="108">
        <f t="shared" si="37"/>
        <v>20459.560000000001</v>
      </c>
      <c r="K524" s="108">
        <f t="shared" si="37"/>
        <v>2244</v>
      </c>
      <c r="L524" s="89">
        <f t="shared" si="37"/>
        <v>12863363.221211001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17776.45+685811.61+26830.31+1520.25+786707.61</f>
        <v>1518646.23</v>
      </c>
      <c r="G526" s="18">
        <f>F526*0.4719</f>
        <v>716649.15593699994</v>
      </c>
      <c r="H526" s="18">
        <f>107316</f>
        <v>107316</v>
      </c>
      <c r="I526" s="18">
        <f>545.62</f>
        <v>545.62</v>
      </c>
      <c r="J526" s="18"/>
      <c r="K526" s="18"/>
      <c r="L526" s="88">
        <f>SUM(F526:K526)</f>
        <v>2343157.0059369998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50316.95+83813.32+145780.82</f>
        <v>279911.09000000003</v>
      </c>
      <c r="G527" s="18">
        <f t="shared" ref="G527:G528" si="38">F527*0.4719</f>
        <v>132090.04337100001</v>
      </c>
      <c r="H527" s="18">
        <f>139561.47</f>
        <v>139561.47</v>
      </c>
      <c r="I527" s="18">
        <f>291.84</f>
        <v>291.83999999999997</v>
      </c>
      <c r="J527" s="18"/>
      <c r="K527" s="18"/>
      <c r="L527" s="88">
        <f>SUM(F527:K527)</f>
        <v>551854.443371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156498.16+75576.15</f>
        <v>232074.31</v>
      </c>
      <c r="G528" s="18">
        <f t="shared" si="38"/>
        <v>109515.866889</v>
      </c>
      <c r="H528" s="18">
        <f>203386.75</f>
        <v>203386.75</v>
      </c>
      <c r="I528" s="18">
        <f>431.42</f>
        <v>431.42</v>
      </c>
      <c r="J528" s="18"/>
      <c r="K528" s="18"/>
      <c r="L528" s="88">
        <f>SUM(F528:K528)</f>
        <v>545408.34688900004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2030631.6300000001</v>
      </c>
      <c r="G529" s="89">
        <f t="shared" ref="G529:L529" si="39">SUM(G526:G528)</f>
        <v>958255.06619699998</v>
      </c>
      <c r="H529" s="89">
        <f t="shared" si="39"/>
        <v>450264.22</v>
      </c>
      <c r="I529" s="89">
        <f t="shared" si="39"/>
        <v>1268.8800000000001</v>
      </c>
      <c r="J529" s="89">
        <f t="shared" si="39"/>
        <v>0</v>
      </c>
      <c r="K529" s="89">
        <f t="shared" si="39"/>
        <v>0</v>
      </c>
      <c r="L529" s="89">
        <f t="shared" si="39"/>
        <v>3440419.7961969995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154212.86+103367.24+55677.13</f>
        <v>313257.23</v>
      </c>
      <c r="G531" s="18">
        <f>F531*0.4719</f>
        <v>147826.08683699998</v>
      </c>
      <c r="H531" s="18">
        <f>3540.82</f>
        <v>3540.82</v>
      </c>
      <c r="I531" s="18">
        <f>61.83</f>
        <v>61.83</v>
      </c>
      <c r="J531" s="18"/>
      <c r="K531" s="18"/>
      <c r="L531" s="88">
        <f>SUM(F531:K531)</f>
        <v>464685.96683699999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88776.34+28385.36+31233.51</f>
        <v>148395.21</v>
      </c>
      <c r="G532" s="18">
        <f t="shared" ref="G532:G533" si="40">F532*0.4719</f>
        <v>70027.699599</v>
      </c>
      <c r="H532" s="18">
        <f>1986.31</f>
        <v>1986.31</v>
      </c>
      <c r="I532" s="18">
        <f>34.69</f>
        <v>34.69</v>
      </c>
      <c r="J532" s="18"/>
      <c r="K532" s="18"/>
      <c r="L532" s="88">
        <f>SUM(F532:K532)</f>
        <v>220443.90959900001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96815.94+28038.15+48887.24</f>
        <v>173741.33</v>
      </c>
      <c r="G533" s="18">
        <f t="shared" si="40"/>
        <v>81988.533626999997</v>
      </c>
      <c r="H533" s="18">
        <f>3109.01</f>
        <v>3109.01</v>
      </c>
      <c r="I533" s="18">
        <f>54.29</f>
        <v>54.29</v>
      </c>
      <c r="J533" s="18"/>
      <c r="K533" s="18"/>
      <c r="L533" s="88">
        <f>SUM(F533:K533)</f>
        <v>258893.163627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635393.7699999999</v>
      </c>
      <c r="G534" s="89">
        <f t="shared" ref="G534:L534" si="41">SUM(G531:G533)</f>
        <v>299842.32006299996</v>
      </c>
      <c r="H534" s="89">
        <f t="shared" si="41"/>
        <v>8636.14</v>
      </c>
      <c r="I534" s="89">
        <f t="shared" si="41"/>
        <v>150.81</v>
      </c>
      <c r="J534" s="89">
        <f t="shared" si="41"/>
        <v>0</v>
      </c>
      <c r="K534" s="89">
        <f t="shared" si="41"/>
        <v>0</v>
      </c>
      <c r="L534" s="89">
        <f t="shared" si="41"/>
        <v>944023.04006300005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4561.87</v>
      </c>
      <c r="I536" s="18"/>
      <c r="J536" s="18"/>
      <c r="K536" s="18"/>
      <c r="L536" s="88">
        <f>SUM(F536:K536)</f>
        <v>4561.87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2440.0700000000002</v>
      </c>
      <c r="I537" s="18"/>
      <c r="J537" s="18"/>
      <c r="K537" s="18"/>
      <c r="L537" s="88">
        <f>SUM(F537:K537)</f>
        <v>2440.0700000000002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3607.06</v>
      </c>
      <c r="I538" s="18"/>
      <c r="J538" s="18"/>
      <c r="K538" s="18"/>
      <c r="L538" s="88">
        <f>SUM(F538:K538)</f>
        <v>3607.06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10609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10609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712830.47</v>
      </c>
      <c r="I541" s="18"/>
      <c r="J541" s="18"/>
      <c r="K541" s="18"/>
      <c r="L541" s="88">
        <f>SUM(F541:K541)</f>
        <v>712830.47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95044.06</v>
      </c>
      <c r="I542" s="18"/>
      <c r="J542" s="18"/>
      <c r="K542" s="18"/>
      <c r="L542" s="88">
        <f>SUM(F542:K542)</f>
        <v>95044.06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142566.09</v>
      </c>
      <c r="I543" s="18"/>
      <c r="J543" s="18"/>
      <c r="K543" s="18"/>
      <c r="L543" s="88">
        <f>SUM(F543:K543)</f>
        <v>142566.09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950440.62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950440.62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10093250.09</v>
      </c>
      <c r="G545" s="89">
        <f t="shared" ref="G545:L545" si="44">G524+G529+G534+G539+G544</f>
        <v>4763004.7174709989</v>
      </c>
      <c r="H545" s="89">
        <f t="shared" si="44"/>
        <v>3284982.1900000004</v>
      </c>
      <c r="I545" s="89">
        <f t="shared" si="44"/>
        <v>44915.119999999995</v>
      </c>
      <c r="J545" s="89">
        <f t="shared" si="44"/>
        <v>20459.560000000001</v>
      </c>
      <c r="K545" s="89">
        <f t="shared" si="44"/>
        <v>2244</v>
      </c>
      <c r="L545" s="89">
        <f t="shared" si="44"/>
        <v>18208855.677471001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5985926.443886999</v>
      </c>
      <c r="G549" s="87">
        <f>L526</f>
        <v>2343157.0059369998</v>
      </c>
      <c r="H549" s="87">
        <f>L531</f>
        <v>464685.96683699999</v>
      </c>
      <c r="I549" s="87">
        <f>L536</f>
        <v>4561.87</v>
      </c>
      <c r="J549" s="87">
        <f>L541</f>
        <v>712830.47</v>
      </c>
      <c r="K549" s="87">
        <f>SUM(F549:J549)</f>
        <v>9511161.7566609979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2649334.7746700002</v>
      </c>
      <c r="G550" s="87">
        <f>L527</f>
        <v>551854.443371</v>
      </c>
      <c r="H550" s="87">
        <f>L532</f>
        <v>220443.90959900001</v>
      </c>
      <c r="I550" s="87">
        <f>L537</f>
        <v>2440.0700000000002</v>
      </c>
      <c r="J550" s="87">
        <f>L542</f>
        <v>95044.06</v>
      </c>
      <c r="K550" s="87">
        <f>SUM(F550:J550)</f>
        <v>3519117.25764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4228102.0026540011</v>
      </c>
      <c r="G551" s="87">
        <f>L528</f>
        <v>545408.34688900004</v>
      </c>
      <c r="H551" s="87">
        <f>L533</f>
        <v>258893.163627</v>
      </c>
      <c r="I551" s="87">
        <f>L538</f>
        <v>3607.06</v>
      </c>
      <c r="J551" s="87">
        <f>L543</f>
        <v>142566.09</v>
      </c>
      <c r="K551" s="87">
        <f>SUM(F551:J551)</f>
        <v>5178576.6631700005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5">SUM(F549:F551)</f>
        <v>12863363.221211001</v>
      </c>
      <c r="G552" s="89">
        <f t="shared" si="45"/>
        <v>3440419.7961969995</v>
      </c>
      <c r="H552" s="89">
        <f t="shared" si="45"/>
        <v>944023.04006300005</v>
      </c>
      <c r="I552" s="89">
        <f t="shared" si="45"/>
        <v>10609</v>
      </c>
      <c r="J552" s="89">
        <f t="shared" si="45"/>
        <v>950440.62</v>
      </c>
      <c r="K552" s="89">
        <f t="shared" si="45"/>
        <v>18208855.677470997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f>36703.53+2128.51+17382.6+524.61</f>
        <v>56739.25</v>
      </c>
      <c r="G562" s="18">
        <f>F562*0.4719</f>
        <v>26775.252075</v>
      </c>
      <c r="H562" s="18"/>
      <c r="I562" s="18">
        <v>101</v>
      </c>
      <c r="J562" s="18"/>
      <c r="K562" s="18"/>
      <c r="L562" s="88">
        <f>SUM(F562:K562)</f>
        <v>83615.502074999997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f>1454.78+36068.16</f>
        <v>37522.94</v>
      </c>
      <c r="G563" s="18">
        <f t="shared" ref="G563:G564" si="47">F563*0.4719</f>
        <v>17707.075386</v>
      </c>
      <c r="H563" s="18"/>
      <c r="I563" s="18">
        <v>50.52</v>
      </c>
      <c r="J563" s="18"/>
      <c r="K563" s="18"/>
      <c r="L563" s="88">
        <f>SUM(F563:K563)</f>
        <v>55280.535385999996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f>5913.6+46649.02</f>
        <v>52562.619999999995</v>
      </c>
      <c r="G564" s="18">
        <f t="shared" si="47"/>
        <v>24804.300377999996</v>
      </c>
      <c r="H564" s="18"/>
      <c r="I564" s="18">
        <v>101</v>
      </c>
      <c r="J564" s="18"/>
      <c r="K564" s="18"/>
      <c r="L564" s="88">
        <f>SUM(F564:K564)</f>
        <v>77467.920377999995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8">SUM(F562:F564)</f>
        <v>146824.81</v>
      </c>
      <c r="G565" s="89">
        <f t="shared" si="48"/>
        <v>69286.627838999993</v>
      </c>
      <c r="H565" s="89">
        <f t="shared" si="48"/>
        <v>0</v>
      </c>
      <c r="I565" s="89">
        <f t="shared" si="48"/>
        <v>252.52</v>
      </c>
      <c r="J565" s="89">
        <f t="shared" si="48"/>
        <v>0</v>
      </c>
      <c r="K565" s="89">
        <f t="shared" si="48"/>
        <v>0</v>
      </c>
      <c r="L565" s="89">
        <f t="shared" si="48"/>
        <v>216363.95783899998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f>126194.35+101413.45+80586.66+6119.5</f>
        <v>314313.95999999996</v>
      </c>
      <c r="G567" s="18">
        <f>F567*0.4719</f>
        <v>148324.75772399997</v>
      </c>
      <c r="H567" s="18">
        <v>2500</v>
      </c>
      <c r="I567" s="18">
        <v>1638.36</v>
      </c>
      <c r="J567" s="18"/>
      <c r="K567" s="18">
        <v>2245</v>
      </c>
      <c r="L567" s="88">
        <f>SUM(F567:K567)</f>
        <v>469022.07772399992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f>2778.46+135551+6119.5</f>
        <v>144448.95999999999</v>
      </c>
      <c r="G568" s="18">
        <f>F568*0.4719</f>
        <v>68165.464223999996</v>
      </c>
      <c r="H568" s="18">
        <v>2500</v>
      </c>
      <c r="I568" s="18">
        <v>1638.35</v>
      </c>
      <c r="J568" s="18"/>
      <c r="K568" s="18">
        <v>2245</v>
      </c>
      <c r="L568" s="88">
        <f>SUM(F568:K568)</f>
        <v>218997.77422399999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458762.91999999993</v>
      </c>
      <c r="G570" s="193">
        <f t="shared" ref="G570:L570" si="49">SUM(G567:G569)</f>
        <v>216490.22194799996</v>
      </c>
      <c r="H570" s="193">
        <f t="shared" si="49"/>
        <v>5000</v>
      </c>
      <c r="I570" s="193">
        <f t="shared" si="49"/>
        <v>3276.71</v>
      </c>
      <c r="J570" s="193">
        <f t="shared" si="49"/>
        <v>0</v>
      </c>
      <c r="K570" s="193">
        <f t="shared" si="49"/>
        <v>4490</v>
      </c>
      <c r="L570" s="193">
        <f t="shared" si="49"/>
        <v>688019.85194799991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605587.73</v>
      </c>
      <c r="G571" s="89">
        <f t="shared" ref="G571:L571" si="50">G560+G565+G570</f>
        <v>285776.84978699998</v>
      </c>
      <c r="H571" s="89">
        <f t="shared" si="50"/>
        <v>5000</v>
      </c>
      <c r="I571" s="89">
        <f t="shared" si="50"/>
        <v>3529.23</v>
      </c>
      <c r="J571" s="89">
        <f t="shared" si="50"/>
        <v>0</v>
      </c>
      <c r="K571" s="89">
        <f t="shared" si="50"/>
        <v>4490</v>
      </c>
      <c r="L571" s="89">
        <f t="shared" si="50"/>
        <v>904383.80978699983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51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51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51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51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51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51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407512.21+2240</f>
        <v>409752.21</v>
      </c>
      <c r="G582" s="18">
        <v>366704.48</v>
      </c>
      <c r="H582" s="18">
        <f>1038733.03+18068.86+5375</f>
        <v>1062176.8900000001</v>
      </c>
      <c r="I582" s="87">
        <f t="shared" si="51"/>
        <v>1838633.58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51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94430.7</v>
      </c>
      <c r="I584" s="87">
        <f t="shared" si="51"/>
        <v>94430.7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51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51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51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954370.39</v>
      </c>
      <c r="I591" s="18">
        <v>715777.79</v>
      </c>
      <c r="J591" s="18">
        <f>715777.79-50167.6</f>
        <v>665610.19000000006</v>
      </c>
      <c r="K591" s="104">
        <f t="shared" ref="K591:K597" si="52">SUM(H591:J591)</f>
        <v>2335758.37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712830.48</v>
      </c>
      <c r="I592" s="18">
        <v>95044.06</v>
      </c>
      <c r="J592" s="18">
        <v>142566.09</v>
      </c>
      <c r="K592" s="104">
        <f t="shared" si="52"/>
        <v>950440.63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50167.6</v>
      </c>
      <c r="K593" s="104">
        <f t="shared" si="52"/>
        <v>50167.6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18537.27</v>
      </c>
      <c r="J594" s="18">
        <v>96807.52</v>
      </c>
      <c r="K594" s="104">
        <f t="shared" si="52"/>
        <v>115344.79000000001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>
        <v>1375.35</v>
      </c>
      <c r="J595" s="18">
        <f>411.64+14055.96</f>
        <v>14467.599999999999</v>
      </c>
      <c r="K595" s="104">
        <f t="shared" si="52"/>
        <v>15842.949999999999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2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2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1667200.87</v>
      </c>
      <c r="I598" s="108">
        <f>SUM(I591:I597)</f>
        <v>830734.47000000009</v>
      </c>
      <c r="J598" s="108">
        <f>SUM(J591:J597)</f>
        <v>969619</v>
      </c>
      <c r="K598" s="108">
        <f>SUM(K591:K597)</f>
        <v>3467554.3400000003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246161.9+2093</f>
        <v>248254.9</v>
      </c>
      <c r="I604" s="18">
        <v>155192.54</v>
      </c>
      <c r="J604" s="18">
        <f>245953.92+15853.86</f>
        <v>261807.78000000003</v>
      </c>
      <c r="K604" s="104">
        <f>SUM(H604:J604)</f>
        <v>665255.22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248254.9</v>
      </c>
      <c r="I605" s="108">
        <f>SUM(I602:I604)</f>
        <v>155192.54</v>
      </c>
      <c r="J605" s="108">
        <f>SUM(J602:J604)</f>
        <v>261807.78000000003</v>
      </c>
      <c r="K605" s="108">
        <f>SUM(K602:K604)</f>
        <v>665255.22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2880</f>
        <v>2880</v>
      </c>
      <c r="G611" s="18">
        <f>F611*0.4719</f>
        <v>1359.0719999999999</v>
      </c>
      <c r="H611" s="18"/>
      <c r="I611" s="18">
        <f>451.62</f>
        <v>451.62</v>
      </c>
      <c r="J611" s="18"/>
      <c r="K611" s="18"/>
      <c r="L611" s="88">
        <f>SUM(F611:K611)</f>
        <v>4690.692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f>4816</f>
        <v>4816</v>
      </c>
      <c r="G612" s="18">
        <f t="shared" ref="G612:G613" si="53">F612*0.4719</f>
        <v>2272.6704</v>
      </c>
      <c r="H612" s="18"/>
      <c r="I612" s="18">
        <f>1000</f>
        <v>1000</v>
      </c>
      <c r="J612" s="18"/>
      <c r="K612" s="18"/>
      <c r="L612" s="88">
        <f>SUM(F612:K612)</f>
        <v>8088.6704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f>26064</f>
        <v>26064</v>
      </c>
      <c r="G613" s="18">
        <f t="shared" si="53"/>
        <v>12299.6016</v>
      </c>
      <c r="H613" s="18"/>
      <c r="I613" s="18">
        <f>1825</f>
        <v>1825</v>
      </c>
      <c r="J613" s="18"/>
      <c r="K613" s="18"/>
      <c r="L613" s="88">
        <f>SUM(F613:K613)</f>
        <v>40188.601600000002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4">SUM(F611:F613)</f>
        <v>33760</v>
      </c>
      <c r="G614" s="108">
        <f t="shared" si="54"/>
        <v>15931.344000000001</v>
      </c>
      <c r="H614" s="108">
        <f t="shared" si="54"/>
        <v>0</v>
      </c>
      <c r="I614" s="108">
        <f t="shared" si="54"/>
        <v>3276.62</v>
      </c>
      <c r="J614" s="108">
        <f t="shared" si="54"/>
        <v>0</v>
      </c>
      <c r="K614" s="108">
        <f t="shared" si="54"/>
        <v>0</v>
      </c>
      <c r="L614" s="89">
        <f t="shared" si="54"/>
        <v>52967.964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2811398.21</v>
      </c>
      <c r="H617" s="109">
        <f>SUM(F52)</f>
        <v>2811398.21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141470.97</v>
      </c>
      <c r="H618" s="109">
        <f>SUM(G52)</f>
        <v>141470.97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409301.86</v>
      </c>
      <c r="H619" s="109">
        <f>SUM(H52)</f>
        <v>409301.86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450884.58</v>
      </c>
      <c r="H620" s="109">
        <f>SUM(I52)</f>
        <v>450884.58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431569.4</v>
      </c>
      <c r="H621" s="109">
        <f>SUM(J52)</f>
        <v>431569.39999999997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606073.28</v>
      </c>
      <c r="H622" s="109">
        <f>F476</f>
        <v>606073.28000000119</v>
      </c>
      <c r="I622" s="121" t="s">
        <v>101</v>
      </c>
      <c r="J622" s="109">
        <f t="shared" ref="J622:J655" si="55">G622-H622</f>
        <v>-1.1641532182693481E-9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75355.03</v>
      </c>
      <c r="H623" s="109">
        <f>G476</f>
        <v>75355.029999999795</v>
      </c>
      <c r="I623" s="121" t="s">
        <v>102</v>
      </c>
      <c r="J623" s="109">
        <f t="shared" si="55"/>
        <v>2.0372681319713593E-10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23668.1</v>
      </c>
      <c r="H624" s="109">
        <f>H476</f>
        <v>23668.100000000093</v>
      </c>
      <c r="I624" s="121" t="s">
        <v>103</v>
      </c>
      <c r="J624" s="109">
        <f t="shared" si="55"/>
        <v>-9.4587448984384537E-11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450884.58</v>
      </c>
      <c r="H625" s="109">
        <f>I476</f>
        <v>450884.57999999996</v>
      </c>
      <c r="I625" s="121" t="s">
        <v>104</v>
      </c>
      <c r="J625" s="109">
        <f t="shared" si="55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408782.06999999995</v>
      </c>
      <c r="H626" s="109">
        <f>J476</f>
        <v>408782.07000000007</v>
      </c>
      <c r="I626" s="140" t="s">
        <v>105</v>
      </c>
      <c r="J626" s="109">
        <f t="shared" si="55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71903944.519999996</v>
      </c>
      <c r="H627" s="104">
        <f>SUM(F468)</f>
        <v>71903944.519999996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1408500.94</v>
      </c>
      <c r="H628" s="104">
        <f>SUM(G468)</f>
        <v>1408500.94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1502103.6600000001</v>
      </c>
      <c r="H629" s="104">
        <f>SUM(H468)</f>
        <v>1502103.66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600070.93000000005</v>
      </c>
      <c r="H631" s="104">
        <f>SUM(J468)</f>
        <v>600070.93000000005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71912924.069999993</v>
      </c>
      <c r="H632" s="104">
        <f>SUM(F472)</f>
        <v>71912924.069999993</v>
      </c>
      <c r="I632" s="140" t="s">
        <v>111</v>
      </c>
      <c r="J632" s="109">
        <f t="shared" si="55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1495029.6700000002</v>
      </c>
      <c r="H633" s="104">
        <f>SUM(H472)</f>
        <v>1495029.67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741920.21</v>
      </c>
      <c r="H634" s="104">
        <f>I369</f>
        <v>741920.21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1400402.87</v>
      </c>
      <c r="H635" s="104">
        <f>SUM(G472)</f>
        <v>1400402.87</v>
      </c>
      <c r="I635" s="140" t="s">
        <v>114</v>
      </c>
      <c r="J635" s="109">
        <f t="shared" si="55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397275</v>
      </c>
      <c r="H636" s="104">
        <f>SUM(I472)</f>
        <v>397275</v>
      </c>
      <c r="I636" s="140" t="s">
        <v>116</v>
      </c>
      <c r="J636" s="109">
        <f t="shared" si="55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600070.92999999993</v>
      </c>
      <c r="H637" s="164">
        <f>SUM(J468)</f>
        <v>600070.93000000005</v>
      </c>
      <c r="I637" s="165" t="s">
        <v>110</v>
      </c>
      <c r="J637" s="151">
        <f t="shared" si="55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383659.36</v>
      </c>
      <c r="H638" s="164">
        <f>SUM(J472)</f>
        <v>383659.36</v>
      </c>
      <c r="I638" s="165" t="s">
        <v>117</v>
      </c>
      <c r="J638" s="151">
        <f t="shared" si="55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52974.78</v>
      </c>
      <c r="H639" s="104">
        <f>SUM(F461)</f>
        <v>52974.78</v>
      </c>
      <c r="I639" s="140" t="s">
        <v>856</v>
      </c>
      <c r="J639" s="109">
        <f t="shared" si="55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378594.62</v>
      </c>
      <c r="H640" s="104">
        <f>SUM(G461)</f>
        <v>378594.62</v>
      </c>
      <c r="I640" s="140" t="s">
        <v>857</v>
      </c>
      <c r="J640" s="109">
        <f t="shared" si="55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5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431569.4</v>
      </c>
      <c r="H642" s="104">
        <f>SUM(I461)</f>
        <v>431569.39999999997</v>
      </c>
      <c r="I642" s="140" t="s">
        <v>859</v>
      </c>
      <c r="J642" s="109">
        <f t="shared" si="55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5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70.930000000000007</v>
      </c>
      <c r="H644" s="104">
        <f>H408</f>
        <v>70.930000000000007</v>
      </c>
      <c r="I644" s="140" t="s">
        <v>480</v>
      </c>
      <c r="J644" s="109">
        <f t="shared" si="55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600000</v>
      </c>
      <c r="H645" s="104">
        <f>G408</f>
        <v>600000</v>
      </c>
      <c r="I645" s="140" t="s">
        <v>481</v>
      </c>
      <c r="J645" s="109">
        <f t="shared" si="55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600070.93000000005</v>
      </c>
      <c r="H646" s="104">
        <f>L408</f>
        <v>600070.92999999993</v>
      </c>
      <c r="I646" s="140" t="s">
        <v>477</v>
      </c>
      <c r="J646" s="109">
        <f t="shared" si="55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3467554.3400000003</v>
      </c>
      <c r="H647" s="104">
        <f>L208+L226+L244</f>
        <v>3467554.34</v>
      </c>
      <c r="I647" s="140" t="s">
        <v>396</v>
      </c>
      <c r="J647" s="109">
        <f t="shared" si="55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665255.22</v>
      </c>
      <c r="H648" s="104">
        <f>(J257+J338)-(J255+J336)</f>
        <v>665255.22</v>
      </c>
      <c r="I648" s="140" t="s">
        <v>702</v>
      </c>
      <c r="J648" s="109">
        <f t="shared" si="55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1667200.87</v>
      </c>
      <c r="H649" s="104">
        <f>H598</f>
        <v>1667200.87</v>
      </c>
      <c r="I649" s="140" t="s">
        <v>388</v>
      </c>
      <c r="J649" s="109">
        <f t="shared" si="55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830734.47</v>
      </c>
      <c r="H650" s="104">
        <f>I598</f>
        <v>830734.47000000009</v>
      </c>
      <c r="I650" s="140" t="s">
        <v>389</v>
      </c>
      <c r="J650" s="109">
        <f t="shared" si="55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969619</v>
      </c>
      <c r="H651" s="104">
        <f>J598</f>
        <v>969619</v>
      </c>
      <c r="I651" s="140" t="s">
        <v>390</v>
      </c>
      <c r="J651" s="109">
        <f t="shared" si="55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52808.52</v>
      </c>
      <c r="H652" s="104">
        <f>K263+K345</f>
        <v>52808.52</v>
      </c>
      <c r="I652" s="140" t="s">
        <v>397</v>
      </c>
      <c r="J652" s="109">
        <f t="shared" si="55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5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5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600000</v>
      </c>
      <c r="H655" s="104">
        <f>K266+K347</f>
        <v>600000</v>
      </c>
      <c r="I655" s="140" t="s">
        <v>400</v>
      </c>
      <c r="J655" s="109">
        <f t="shared" si="55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29681051.929999996</v>
      </c>
      <c r="G660" s="19">
        <f>(L229+L309+L359)</f>
        <v>15808571.420000002</v>
      </c>
      <c r="H660" s="19">
        <f>(L247+L328+L360)</f>
        <v>25866132.48</v>
      </c>
      <c r="I660" s="19">
        <f>SUM(F660:H660)</f>
        <v>71355755.829999998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340039.19349844829</v>
      </c>
      <c r="G661" s="19">
        <f>(L359/IF(SUM(L358:L360)=0,1,SUM(L358:L360))*(SUM(G97:G110)))</f>
        <v>273572.95777995058</v>
      </c>
      <c r="H661" s="19">
        <f>(L360/IF(SUM(L358:L360)=0,1,SUM(L358:L360))*(SUM(G97:G110)))</f>
        <v>457569.15872160112</v>
      </c>
      <c r="I661" s="19">
        <f>SUM(F661:H661)</f>
        <v>1071181.31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1667200.87</v>
      </c>
      <c r="G662" s="19">
        <f>(L226+L306)-(J226+J306)</f>
        <v>830734.47</v>
      </c>
      <c r="H662" s="19">
        <f>(L244+L325)-(J244+J325)</f>
        <v>969619</v>
      </c>
      <c r="I662" s="19">
        <f>SUM(F662:H662)</f>
        <v>3467554.34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662697.80200000003</v>
      </c>
      <c r="G663" s="199">
        <f>SUM(G575:G587)+SUM(I602:I604)+L612</f>
        <v>529985.69039999996</v>
      </c>
      <c r="H663" s="199">
        <f>SUM(H575:H587)+SUM(J602:J604)+L613</f>
        <v>1458603.9716</v>
      </c>
      <c r="I663" s="19">
        <f>SUM(F663:H663)</f>
        <v>2651287.4639999997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27011114.064501546</v>
      </c>
      <c r="G664" s="19">
        <f>G660-SUM(G661:G663)</f>
        <v>14174278.301820051</v>
      </c>
      <c r="H664" s="19">
        <f>H660-SUM(H661:H663)</f>
        <v>22980340.349678397</v>
      </c>
      <c r="I664" s="19">
        <f>I660-SUM(I661:I663)</f>
        <v>64165732.715999998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1643.2</v>
      </c>
      <c r="G665" s="248">
        <v>1021.89</v>
      </c>
      <c r="H665" s="248">
        <v>1506.22</v>
      </c>
      <c r="I665" s="19">
        <f>SUM(F665:H665)</f>
        <v>4171.3100000000004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16438.12</v>
      </c>
      <c r="G667" s="19">
        <f>ROUND(G664/G665,2)</f>
        <v>13870.65</v>
      </c>
      <c r="H667" s="19">
        <f>ROUND(H664/H665,2)</f>
        <v>15256.96</v>
      </c>
      <c r="I667" s="19">
        <f>ROUND(I664/I665,2)</f>
        <v>15382.63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-26.06</v>
      </c>
      <c r="I670" s="19">
        <f>SUM(F670:H670)</f>
        <v>-26.06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16438.12</v>
      </c>
      <c r="G672" s="19">
        <f>ROUND((G664+G669)/(G665+G670),2)</f>
        <v>13870.65</v>
      </c>
      <c r="H672" s="19">
        <f>ROUND((H664+H669)/(H665+H670),2)</f>
        <v>15525.58</v>
      </c>
      <c r="I672" s="19">
        <f>ROUND((I664+I669)/(I665+I670),2)</f>
        <v>15479.34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F24" sqref="F2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LONDONDERRY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18422858.669999998</v>
      </c>
      <c r="C9" s="229">
        <f>'DOE25'!G197+'DOE25'!G215+'DOE25'!G233+'DOE25'!G276+'DOE25'!G295+'DOE25'!G314</f>
        <v>9229193.2400000002</v>
      </c>
    </row>
    <row r="10" spans="1:3" x14ac:dyDescent="0.2">
      <c r="A10" t="s">
        <v>778</v>
      </c>
      <c r="B10" s="240">
        <v>17617441.079999998</v>
      </c>
      <c r="C10" s="240">
        <v>8980005.0199999996</v>
      </c>
    </row>
    <row r="11" spans="1:3" x14ac:dyDescent="0.2">
      <c r="A11" t="s">
        <v>779</v>
      </c>
      <c r="B11" s="240">
        <v>347932.71</v>
      </c>
      <c r="C11" s="240">
        <v>156896.29</v>
      </c>
    </row>
    <row r="12" spans="1:3" x14ac:dyDescent="0.2">
      <c r="A12" t="s">
        <v>780</v>
      </c>
      <c r="B12" s="240">
        <f>457484.95-0.07</f>
        <v>457484.88</v>
      </c>
      <c r="C12" s="240">
        <v>92291.93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18422858.669999998</v>
      </c>
      <c r="C13" s="231">
        <f>SUM(C10:C12)</f>
        <v>9229193.2399999984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8392840.3499999996</v>
      </c>
      <c r="C18" s="229">
        <f>'DOE25'!G198+'DOE25'!G216+'DOE25'!G234+'DOE25'!G277+'DOE25'!G296+'DOE25'!G315</f>
        <v>4122968.34</v>
      </c>
    </row>
    <row r="19" spans="1:3" x14ac:dyDescent="0.2">
      <c r="A19" t="s">
        <v>778</v>
      </c>
      <c r="B19" s="240">
        <f>5670185.41-154212.86-88776.34-96815.94+12239</f>
        <v>5342619.2699999996</v>
      </c>
      <c r="C19" s="240">
        <v>2820110.34</v>
      </c>
    </row>
    <row r="20" spans="1:3" x14ac:dyDescent="0.2">
      <c r="A20" t="s">
        <v>779</v>
      </c>
      <c r="B20" s="240">
        <f>2638441.54-29922.22-21364-24962.02-27119-28385.36-28038.15</f>
        <v>2478650.79</v>
      </c>
      <c r="C20" s="240">
        <v>1088463.6399999999</v>
      </c>
    </row>
    <row r="21" spans="1:3" x14ac:dyDescent="0.2">
      <c r="A21" t="s">
        <v>780</v>
      </c>
      <c r="B21" s="240">
        <f>29922.22+21364+24962.02+27119+28385.36+28038.15+154212.86+88776.34+96815.94+23813.6+48160.8</f>
        <v>571570.28999999992</v>
      </c>
      <c r="C21" s="240">
        <v>214394.36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8392840.3499999996</v>
      </c>
      <c r="C22" s="231">
        <f>SUM(C19:C21)</f>
        <v>4122968.3399999994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915566.08000000007</v>
      </c>
      <c r="C36" s="235">
        <f>'DOE25'!G200+'DOE25'!G218+'DOE25'!G236+'DOE25'!G279+'DOE25'!G298+'DOE25'!G317</f>
        <v>446295.52</v>
      </c>
    </row>
    <row r="37" spans="1:3" x14ac:dyDescent="0.2">
      <c r="A37" t="s">
        <v>778</v>
      </c>
      <c r="B37" s="240">
        <v>167669.5</v>
      </c>
      <c r="C37" s="240">
        <v>80333.19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747896.58</v>
      </c>
      <c r="C39" s="240">
        <v>365962.33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915566.07999999996</v>
      </c>
      <c r="C40" s="231">
        <f>SUM(C37:C39)</f>
        <v>446295.52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LONDONDERRY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43365759.759999998</v>
      </c>
      <c r="D5" s="20">
        <f>SUM('DOE25'!L197:L200)+SUM('DOE25'!L215:L218)+SUM('DOE25'!L233:L236)-F5-G5</f>
        <v>43223446.390000001</v>
      </c>
      <c r="E5" s="243"/>
      <c r="F5" s="255">
        <f>SUM('DOE25'!J197:J200)+SUM('DOE25'!J215:J218)+SUM('DOE25'!J233:J236)</f>
        <v>94528.37</v>
      </c>
      <c r="G5" s="53">
        <f>SUM('DOE25'!K197:K200)+SUM('DOE25'!K215:K218)+SUM('DOE25'!K233:K236)</f>
        <v>47785</v>
      </c>
      <c r="H5" s="259"/>
    </row>
    <row r="6" spans="1:9" x14ac:dyDescent="0.2">
      <c r="A6" s="32">
        <v>2100</v>
      </c>
      <c r="B6" t="s">
        <v>800</v>
      </c>
      <c r="C6" s="245">
        <f t="shared" si="0"/>
        <v>6227150.2799999993</v>
      </c>
      <c r="D6" s="20">
        <f>'DOE25'!L202+'DOE25'!L220+'DOE25'!L238-F6-G6</f>
        <v>6222232.2799999993</v>
      </c>
      <c r="E6" s="243"/>
      <c r="F6" s="255">
        <f>'DOE25'!J202+'DOE25'!J220+'DOE25'!J238</f>
        <v>0</v>
      </c>
      <c r="G6" s="53">
        <f>'DOE25'!K202+'DOE25'!K220+'DOE25'!K238</f>
        <v>4918</v>
      </c>
      <c r="H6" s="259"/>
    </row>
    <row r="7" spans="1:9" x14ac:dyDescent="0.2">
      <c r="A7" s="32">
        <v>2200</v>
      </c>
      <c r="B7" t="s">
        <v>833</v>
      </c>
      <c r="C7" s="245">
        <f t="shared" si="0"/>
        <v>1982668.9199999997</v>
      </c>
      <c r="D7" s="20">
        <f>'DOE25'!L203+'DOE25'!L221+'DOE25'!L239-F7-G7</f>
        <v>1953240.6499999997</v>
      </c>
      <c r="E7" s="243"/>
      <c r="F7" s="255">
        <f>'DOE25'!J203+'DOE25'!J221+'DOE25'!J239</f>
        <v>27359.27</v>
      </c>
      <c r="G7" s="53">
        <f>'DOE25'!K203+'DOE25'!K221+'DOE25'!K239</f>
        <v>2069</v>
      </c>
      <c r="H7" s="259"/>
    </row>
    <row r="8" spans="1:9" x14ac:dyDescent="0.2">
      <c r="A8" s="32">
        <v>2300</v>
      </c>
      <c r="B8" t="s">
        <v>801</v>
      </c>
      <c r="C8" s="245">
        <f t="shared" si="0"/>
        <v>544808.45000000019</v>
      </c>
      <c r="D8" s="243"/>
      <c r="E8" s="20">
        <f>'DOE25'!L204+'DOE25'!L222+'DOE25'!L240-F8-G8-D9-D11</f>
        <v>526138.70000000019</v>
      </c>
      <c r="F8" s="255">
        <f>'DOE25'!J204+'DOE25'!J222+'DOE25'!J240</f>
        <v>828</v>
      </c>
      <c r="G8" s="53">
        <f>'DOE25'!K204+'DOE25'!K222+'DOE25'!K240</f>
        <v>17841.75</v>
      </c>
      <c r="H8" s="259"/>
    </row>
    <row r="9" spans="1:9" x14ac:dyDescent="0.2">
      <c r="A9" s="32">
        <v>2310</v>
      </c>
      <c r="B9" t="s">
        <v>817</v>
      </c>
      <c r="C9" s="245">
        <f t="shared" si="0"/>
        <v>43661.89</v>
      </c>
      <c r="D9" s="244">
        <v>43661.89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25189.32</v>
      </c>
      <c r="D10" s="243"/>
      <c r="E10" s="244">
        <v>25189.32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587995.71</v>
      </c>
      <c r="D11" s="244">
        <v>587995.71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3350359.9299999997</v>
      </c>
      <c r="D12" s="20">
        <f>'DOE25'!L205+'DOE25'!L223+'DOE25'!L241-F12-G12</f>
        <v>3334237.05</v>
      </c>
      <c r="E12" s="243"/>
      <c r="F12" s="255">
        <f>'DOE25'!J205+'DOE25'!J223+'DOE25'!J241</f>
        <v>0</v>
      </c>
      <c r="G12" s="53">
        <f>'DOE25'!K205+'DOE25'!K223+'DOE25'!K241</f>
        <v>16122.880000000001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912972.10999999987</v>
      </c>
      <c r="D13" s="243"/>
      <c r="E13" s="20">
        <f>'DOE25'!L206+'DOE25'!L224+'DOE25'!L242-F13-G13</f>
        <v>912972.10999999987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6126862.1300000008</v>
      </c>
      <c r="D14" s="20">
        <f>'DOE25'!L207+'DOE25'!L225+'DOE25'!L243-F14-G14</f>
        <v>6094796.9000000004</v>
      </c>
      <c r="E14" s="243"/>
      <c r="F14" s="255">
        <f>'DOE25'!J207+'DOE25'!J225+'DOE25'!J243</f>
        <v>31446.44</v>
      </c>
      <c r="G14" s="53">
        <f>'DOE25'!K207+'DOE25'!K225+'DOE25'!K243</f>
        <v>618.79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3467554.34</v>
      </c>
      <c r="D15" s="20">
        <f>'DOE25'!L208+'DOE25'!L226+'DOE25'!L244-F15-G15</f>
        <v>3467554.34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1875939.89</v>
      </c>
      <c r="D16" s="243"/>
      <c r="E16" s="20">
        <f>'DOE25'!L209+'DOE25'!L227+'DOE25'!L245-F16-G16</f>
        <v>1382793.6099999999</v>
      </c>
      <c r="F16" s="255">
        <f>'DOE25'!J209+'DOE25'!J227+'DOE25'!J245</f>
        <v>493146.28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54652.85</v>
      </c>
      <c r="D17" s="20">
        <f>'DOE25'!L251-F17-G17</f>
        <v>54652.85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2712143.79</v>
      </c>
      <c r="D25" s="243"/>
      <c r="E25" s="243"/>
      <c r="F25" s="258"/>
      <c r="G25" s="256"/>
      <c r="H25" s="257">
        <f>'DOE25'!L260+'DOE25'!L261+'DOE25'!L341+'DOE25'!L342</f>
        <v>2712143.79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759332.27000000014</v>
      </c>
      <c r="D29" s="20">
        <f>'DOE25'!L358+'DOE25'!L359+'DOE25'!L360-'DOE25'!I367-F29-G29</f>
        <v>738629.84000000008</v>
      </c>
      <c r="E29" s="243"/>
      <c r="F29" s="255">
        <f>'DOE25'!J358+'DOE25'!J359+'DOE25'!J360</f>
        <v>18938</v>
      </c>
      <c r="G29" s="53">
        <f>'DOE25'!K358+'DOE25'!K359+'DOE25'!K360</f>
        <v>1764.43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1495029.6700000002</v>
      </c>
      <c r="D31" s="20">
        <f>'DOE25'!L290+'DOE25'!L309+'DOE25'!L328+'DOE25'!L333+'DOE25'!L334+'DOE25'!L335-F31-G31</f>
        <v>1477082.81</v>
      </c>
      <c r="E31" s="243"/>
      <c r="F31" s="255">
        <f>'DOE25'!J290+'DOE25'!J309+'DOE25'!J328+'DOE25'!J333+'DOE25'!J334+'DOE25'!J335</f>
        <v>17946.86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67197530.709999993</v>
      </c>
      <c r="E33" s="246">
        <f>SUM(E5:E31)</f>
        <v>2847093.7399999998</v>
      </c>
      <c r="F33" s="246">
        <f>SUM(F5:F31)</f>
        <v>684193.22</v>
      </c>
      <c r="G33" s="246">
        <f>SUM(G5:G31)</f>
        <v>91119.849999999991</v>
      </c>
      <c r="H33" s="246">
        <f>SUM(H5:H31)</f>
        <v>2712143.79</v>
      </c>
    </row>
    <row r="35" spans="2:8" ht="12" thickBot="1" x14ac:dyDescent="0.25">
      <c r="B35" s="253" t="s">
        <v>846</v>
      </c>
      <c r="D35" s="254">
        <f>E33</f>
        <v>2847093.7399999998</v>
      </c>
      <c r="E35" s="249"/>
    </row>
    <row r="36" spans="2:8" ht="12" thickTop="1" x14ac:dyDescent="0.2">
      <c r="B36" t="s">
        <v>814</v>
      </c>
      <c r="D36" s="20">
        <f>D33</f>
        <v>67197530.709999993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L30" sqref="L3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LONDONDERRY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2794117.46</v>
      </c>
      <c r="D8" s="95">
        <f>'DOE25'!G9</f>
        <v>5600</v>
      </c>
      <c r="E8" s="95">
        <f>'DOE25'!H9</f>
        <v>0</v>
      </c>
      <c r="F8" s="95">
        <f>'DOE25'!I9</f>
        <v>0</v>
      </c>
      <c r="G8" s="95">
        <f>'DOE25'!J9</f>
        <v>431569.4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66230.8</v>
      </c>
      <c r="E11" s="95">
        <f>'DOE25'!H12</f>
        <v>0</v>
      </c>
      <c r="F11" s="95">
        <f>'DOE25'!I12</f>
        <v>450884.58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17561</v>
      </c>
      <c r="E12" s="95">
        <f>'DOE25'!H13</f>
        <v>409301.86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260</v>
      </c>
      <c r="D13" s="95">
        <f>'DOE25'!G14</f>
        <v>23245.19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28833.98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17020.75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2811398.21</v>
      </c>
      <c r="D18" s="41">
        <f>SUM(D8:D17)</f>
        <v>141470.97</v>
      </c>
      <c r="E18" s="41">
        <f>SUM(E8:E17)</f>
        <v>409301.86</v>
      </c>
      <c r="F18" s="41">
        <f>SUM(F8:F17)</f>
        <v>450884.58</v>
      </c>
      <c r="G18" s="41">
        <f>SUM(G8:G17)</f>
        <v>431569.4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177056.46</v>
      </c>
      <c r="D21" s="95">
        <f>'DOE25'!G22</f>
        <v>0</v>
      </c>
      <c r="E21" s="95">
        <f>'DOE25'!H22</f>
        <v>317271.59000000003</v>
      </c>
      <c r="F21" s="95">
        <f>'DOE25'!I22</f>
        <v>0</v>
      </c>
      <c r="G21" s="95">
        <f>'DOE25'!J22</f>
        <v>22787.33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1390901.33</v>
      </c>
      <c r="D23" s="95">
        <f>'DOE25'!G24</f>
        <v>56387.25</v>
      </c>
      <c r="E23" s="95">
        <f>'DOE25'!H24</f>
        <v>2093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470424.53</v>
      </c>
      <c r="D27" s="95">
        <f>'DOE25'!G28</f>
        <v>9728.69</v>
      </c>
      <c r="E27" s="95">
        <f>'DOE25'!H28</f>
        <v>6098.17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166384.60999999999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558</v>
      </c>
      <c r="D30" s="95">
        <f>'DOE25'!G31</f>
        <v>0</v>
      </c>
      <c r="E30" s="95">
        <f>'DOE25'!H31</f>
        <v>60171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2205324.9300000002</v>
      </c>
      <c r="D31" s="41">
        <f>SUM(D21:D30)</f>
        <v>66115.94</v>
      </c>
      <c r="E31" s="41">
        <f>SUM(E21:E30)</f>
        <v>385633.76</v>
      </c>
      <c r="F31" s="41">
        <f>SUM(F21:F30)</f>
        <v>0</v>
      </c>
      <c r="G31" s="41">
        <f>SUM(G21:G30)</f>
        <v>22787.33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28833.98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17020.75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23668.1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175000</v>
      </c>
      <c r="D43" s="95">
        <f>'DOE25'!G44</f>
        <v>0</v>
      </c>
      <c r="E43" s="95">
        <f>'DOE25'!H44</f>
        <v>0</v>
      </c>
      <c r="F43" s="95">
        <f>'DOE25'!I44</f>
        <v>450884.58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402810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46521.05</v>
      </c>
      <c r="E47" s="95">
        <f>'DOE25'!H48</f>
        <v>0</v>
      </c>
      <c r="F47" s="95">
        <f>'DOE25'!I48</f>
        <v>0</v>
      </c>
      <c r="G47" s="95">
        <f>'DOE25'!J48</f>
        <v>408782.06999999995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11242.53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606073.28</v>
      </c>
      <c r="D50" s="41">
        <f>SUM(D34:D49)</f>
        <v>75355.03</v>
      </c>
      <c r="E50" s="41">
        <f>SUM(E34:E49)</f>
        <v>23668.1</v>
      </c>
      <c r="F50" s="41">
        <f>SUM(F34:F49)</f>
        <v>450884.58</v>
      </c>
      <c r="G50" s="41">
        <f>SUM(G34:G49)</f>
        <v>408782.06999999995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2811398.21</v>
      </c>
      <c r="D51" s="41">
        <f>D50+D31</f>
        <v>141470.97</v>
      </c>
      <c r="E51" s="41">
        <f>E50+E31</f>
        <v>409301.86</v>
      </c>
      <c r="F51" s="41">
        <f>F50+F31</f>
        <v>450884.58</v>
      </c>
      <c r="G51" s="41">
        <f>G50+G31</f>
        <v>431569.39999999997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50964891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1199056.2999999998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9.14</v>
      </c>
      <c r="E59" s="95">
        <f>'DOE25'!H96</f>
        <v>0</v>
      </c>
      <c r="F59" s="95">
        <f>'DOE25'!I96</f>
        <v>0</v>
      </c>
      <c r="G59" s="95">
        <f>'DOE25'!J96</f>
        <v>70.930000000000007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991640.97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41093.729999999996</v>
      </c>
      <c r="D61" s="95">
        <f>SUM('DOE25'!G98:G110)</f>
        <v>79540.34</v>
      </c>
      <c r="E61" s="95">
        <f>SUM('DOE25'!H98:H110)</f>
        <v>17419.82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1240150.0299999998</v>
      </c>
      <c r="D62" s="130">
        <f>SUM(D57:D61)</f>
        <v>1071190.45</v>
      </c>
      <c r="E62" s="130">
        <f>SUM(E57:E61)</f>
        <v>17419.82</v>
      </c>
      <c r="F62" s="130">
        <f>SUM(F57:F61)</f>
        <v>0</v>
      </c>
      <c r="G62" s="130">
        <f>SUM(G57:G61)</f>
        <v>70.930000000000007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52205041.030000001</v>
      </c>
      <c r="D63" s="22">
        <f>D56+D62</f>
        <v>1071190.45</v>
      </c>
      <c r="E63" s="22">
        <f>E56+E62</f>
        <v>17419.82</v>
      </c>
      <c r="F63" s="22">
        <f>F56+F62</f>
        <v>0</v>
      </c>
      <c r="G63" s="22">
        <f>G56+G62</f>
        <v>70.930000000000007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11142471.960000001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6779575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2375.67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17924422.630000003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629694.5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333665.62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33637.199999999997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13724.61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996997.32</v>
      </c>
      <c r="D78" s="130">
        <f>SUM(D72:D77)</f>
        <v>13724.61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18921419.950000003</v>
      </c>
      <c r="D81" s="130">
        <f>SUM(D79:D80)+D78+D70</f>
        <v>13724.61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24000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392611.51</v>
      </c>
      <c r="D88" s="95">
        <f>SUM('DOE25'!G153:G161)</f>
        <v>270777.36</v>
      </c>
      <c r="E88" s="95">
        <f>SUM('DOE25'!H153:H161)</f>
        <v>1484683.84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416611.51</v>
      </c>
      <c r="D91" s="131">
        <f>SUM(D85:D90)</f>
        <v>270777.36</v>
      </c>
      <c r="E91" s="131">
        <f>SUM(E85:E90)</f>
        <v>1484683.84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52808.52</v>
      </c>
      <c r="E96" s="95">
        <f>'DOE25'!H179</f>
        <v>0</v>
      </c>
      <c r="F96" s="95">
        <f>'DOE25'!I179</f>
        <v>0</v>
      </c>
      <c r="G96" s="95">
        <f>'DOE25'!J179</f>
        <v>600000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91992.54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268879.49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360872.02999999997</v>
      </c>
      <c r="D103" s="86">
        <f>SUM(D93:D102)</f>
        <v>52808.52</v>
      </c>
      <c r="E103" s="86">
        <f>SUM(E93:E102)</f>
        <v>0</v>
      </c>
      <c r="F103" s="86">
        <f>SUM(F93:F102)</f>
        <v>0</v>
      </c>
      <c r="G103" s="86">
        <f>SUM(G93:G102)</f>
        <v>600000</v>
      </c>
    </row>
    <row r="104" spans="1:7" ht="12.75" thickTop="1" thickBot="1" x14ac:dyDescent="0.25">
      <c r="A104" s="33" t="s">
        <v>764</v>
      </c>
      <c r="C104" s="86">
        <f>C63+C81+C91+C103</f>
        <v>71903944.520000011</v>
      </c>
      <c r="D104" s="86">
        <f>D63+D81+D91+D103</f>
        <v>1408500.94</v>
      </c>
      <c r="E104" s="86">
        <f>E63+E81+E91+E103</f>
        <v>1502103.6600000001</v>
      </c>
      <c r="F104" s="86">
        <f>F63+F81+F91+F103</f>
        <v>0</v>
      </c>
      <c r="G104" s="86">
        <f>G63+G81+G103</f>
        <v>600070.93000000005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28030410.299999997</v>
      </c>
      <c r="D109" s="24" t="s">
        <v>288</v>
      </c>
      <c r="E109" s="95">
        <f>('DOE25'!L276)+('DOE25'!L295)+('DOE25'!L314)</f>
        <v>352499.08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13616420.32</v>
      </c>
      <c r="D110" s="24" t="s">
        <v>288</v>
      </c>
      <c r="E110" s="95">
        <f>('DOE25'!L277)+('DOE25'!L296)+('DOE25'!L315)</f>
        <v>884848.78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94430.7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1624498.4400000004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54652.85</v>
      </c>
      <c r="D114" s="24" t="s">
        <v>288</v>
      </c>
      <c r="E114" s="95">
        <f>+ SUM('DOE25'!L333:L335)</f>
        <v>25410.12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43420412.609999999</v>
      </c>
      <c r="D115" s="86">
        <f>SUM(D109:D114)</f>
        <v>0</v>
      </c>
      <c r="E115" s="86">
        <f>SUM(E109:E114)</f>
        <v>1262757.9800000002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6227150.2799999993</v>
      </c>
      <c r="D118" s="24" t="s">
        <v>288</v>
      </c>
      <c r="E118" s="95">
        <f>+('DOE25'!L281)+('DOE25'!L300)+('DOE25'!L319)</f>
        <v>218078.89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1982668.9199999997</v>
      </c>
      <c r="D119" s="24" t="s">
        <v>288</v>
      </c>
      <c r="E119" s="95">
        <f>+('DOE25'!L282)+('DOE25'!L301)+('DOE25'!L320)</f>
        <v>1692.8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1176466.05</v>
      </c>
      <c r="D120" s="24" t="s">
        <v>288</v>
      </c>
      <c r="E120" s="95">
        <f>+('DOE25'!L283)+('DOE25'!L302)+('DOE25'!L321)</f>
        <v>12500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3350359.9299999997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912972.10999999987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6126862.1300000008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3467554.34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1875939.89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1400402.87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25119973.650000002</v>
      </c>
      <c r="D128" s="86">
        <f>SUM(D118:D127)</f>
        <v>1400402.87</v>
      </c>
      <c r="E128" s="86">
        <f>SUM(E118:E127)</f>
        <v>232271.69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397275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2105000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607143.79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383659.36</v>
      </c>
    </row>
    <row r="135" spans="1:7" x14ac:dyDescent="0.2">
      <c r="A135" t="s">
        <v>233</v>
      </c>
      <c r="B135" s="32" t="s">
        <v>234</v>
      </c>
      <c r="C135" s="95">
        <f>'DOE25'!L263</f>
        <v>52808.52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100011.94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500058.99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-70.929999999934807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7585.5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3372537.8100000005</v>
      </c>
      <c r="D144" s="141">
        <f>SUM(D130:D143)</f>
        <v>0</v>
      </c>
      <c r="E144" s="141">
        <f>SUM(E130:E143)</f>
        <v>0</v>
      </c>
      <c r="F144" s="141">
        <f>SUM(F130:F143)</f>
        <v>397275</v>
      </c>
      <c r="G144" s="141">
        <f>SUM(G130:G143)</f>
        <v>383659.36</v>
      </c>
    </row>
    <row r="145" spans="1:9" ht="12.75" thickTop="1" thickBot="1" x14ac:dyDescent="0.25">
      <c r="A145" s="33" t="s">
        <v>244</v>
      </c>
      <c r="C145" s="86">
        <f>(C115+C128+C144)</f>
        <v>71912924.070000008</v>
      </c>
      <c r="D145" s="86">
        <f>(D115+D128+D144)</f>
        <v>1400402.87</v>
      </c>
      <c r="E145" s="86">
        <f>(E115+E128+E144)</f>
        <v>1495029.6700000002</v>
      </c>
      <c r="F145" s="86">
        <f>(F115+F128+F144)</f>
        <v>397275</v>
      </c>
      <c r="G145" s="86">
        <f>(G115+G128+G144)</f>
        <v>383659.36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20</v>
      </c>
      <c r="E151" s="153">
        <f>'DOE25'!I490</f>
        <v>12</v>
      </c>
      <c r="F151" s="153">
        <f>'DOE25'!J490</f>
        <v>10</v>
      </c>
      <c r="G151" s="24" t="s">
        <v>288</v>
      </c>
    </row>
    <row r="152" spans="1:9" x14ac:dyDescent="0.2">
      <c r="A152" s="136" t="s">
        <v>28</v>
      </c>
      <c r="B152" s="152" t="str">
        <f>'DOE25'!F491</f>
        <v>04/02</v>
      </c>
      <c r="C152" s="152" t="str">
        <f>'DOE25'!G491</f>
        <v>05/2017</v>
      </c>
      <c r="D152" s="152" t="str">
        <f>'DOE25'!H491</f>
        <v>07/08</v>
      </c>
      <c r="E152" s="152" t="str">
        <f>'DOE25'!I491</f>
        <v>05/14</v>
      </c>
      <c r="F152" s="152" t="str">
        <f>'DOE25'!J491</f>
        <v>07/14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07/22</v>
      </c>
      <c r="C153" s="152" t="str">
        <f>'DOE25'!G492</f>
        <v>07/2028</v>
      </c>
      <c r="D153" s="152">
        <f>'DOE25'!H492</f>
        <v>0</v>
      </c>
      <c r="E153" s="152" t="str">
        <f>'DOE25'!I492</f>
        <v>08/25</v>
      </c>
      <c r="F153" s="152" t="str">
        <f>'DOE25'!J492</f>
        <v>07/24</v>
      </c>
      <c r="G153" s="24" t="s">
        <v>288</v>
      </c>
    </row>
    <row r="154" spans="1:9" x14ac:dyDescent="0.2">
      <c r="A154" s="136" t="s">
        <v>30</v>
      </c>
      <c r="B154" s="137">
        <f>'DOE25'!F493</f>
        <v>12030000</v>
      </c>
      <c r="C154" s="137">
        <f>'DOE25'!G493</f>
        <v>2720000</v>
      </c>
      <c r="D154" s="137">
        <f>'DOE25'!H493</f>
        <v>5100000</v>
      </c>
      <c r="E154" s="137">
        <f>'DOE25'!I493</f>
        <v>2955000</v>
      </c>
      <c r="F154" s="137">
        <f>'DOE25'!J493</f>
        <v>3895000</v>
      </c>
      <c r="G154" s="24" t="s">
        <v>288</v>
      </c>
    </row>
    <row r="155" spans="1:9" x14ac:dyDescent="0.2">
      <c r="A155" s="136" t="s">
        <v>31</v>
      </c>
      <c r="B155" s="137">
        <f>'DOE25'!F494</f>
        <v>4.57</v>
      </c>
      <c r="C155" s="137">
        <f>'DOE25'!G494</f>
        <v>2.69</v>
      </c>
      <c r="D155" s="137">
        <f>'DOE25'!H494</f>
        <v>4.09</v>
      </c>
      <c r="E155" s="137">
        <f>'DOE25'!I494</f>
        <v>1.94</v>
      </c>
      <c r="F155" s="137">
        <f>'DOE25'!J494</f>
        <v>2.14</v>
      </c>
      <c r="G155" s="24" t="s">
        <v>288</v>
      </c>
    </row>
    <row r="156" spans="1:9" x14ac:dyDescent="0.2">
      <c r="A156" s="22" t="s">
        <v>32</v>
      </c>
      <c r="B156" s="137">
        <f>'DOE25'!F495</f>
        <v>4660000</v>
      </c>
      <c r="C156" s="137">
        <f>'DOE25'!G495</f>
        <v>0</v>
      </c>
      <c r="D156" s="137">
        <f>'DOE25'!H495</f>
        <v>765000</v>
      </c>
      <c r="E156" s="137">
        <f>'DOE25'!I495</f>
        <v>2870000</v>
      </c>
      <c r="F156" s="137">
        <f>'DOE25'!J495</f>
        <v>3505000</v>
      </c>
      <c r="G156" s="138">
        <f>SUM(B156:F156)</f>
        <v>11800000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2720000</v>
      </c>
      <c r="D157" s="137" t="str">
        <f>'DOE25'!H496</f>
        <v>unrefunded balance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2720000</v>
      </c>
    </row>
    <row r="158" spans="1:9" x14ac:dyDescent="0.2">
      <c r="A158" s="22" t="s">
        <v>34</v>
      </c>
      <c r="B158" s="137">
        <f>'DOE25'!F497</f>
        <v>670000</v>
      </c>
      <c r="C158" s="137">
        <f>'DOE25'!G497</f>
        <v>0</v>
      </c>
      <c r="D158" s="137">
        <f>'DOE25'!H497</f>
        <v>255000</v>
      </c>
      <c r="E158" s="137">
        <f>'DOE25'!I497</f>
        <v>305000</v>
      </c>
      <c r="F158" s="137">
        <f>'DOE25'!J497</f>
        <v>390000</v>
      </c>
      <c r="G158" s="138">
        <f t="shared" si="0"/>
        <v>1620000</v>
      </c>
    </row>
    <row r="159" spans="1:9" x14ac:dyDescent="0.2">
      <c r="A159" s="22" t="s">
        <v>35</v>
      </c>
      <c r="B159" s="137">
        <f>'DOE25'!F498</f>
        <v>3990000</v>
      </c>
      <c r="C159" s="137">
        <f>'DOE25'!G498</f>
        <v>2720000</v>
      </c>
      <c r="D159" s="137">
        <f>'DOE25'!H498</f>
        <v>510000</v>
      </c>
      <c r="E159" s="137">
        <f>'DOE25'!I498</f>
        <v>2565000</v>
      </c>
      <c r="F159" s="137">
        <f>'DOE25'!J498</f>
        <v>3115000</v>
      </c>
      <c r="G159" s="138">
        <f t="shared" si="0"/>
        <v>12900000</v>
      </c>
    </row>
    <row r="160" spans="1:9" x14ac:dyDescent="0.2">
      <c r="A160" s="22" t="s">
        <v>36</v>
      </c>
      <c r="B160" s="137">
        <f>'DOE25'!F499</f>
        <v>590852.5</v>
      </c>
      <c r="C160" s="137">
        <f>'DOE25'!G499</f>
        <v>470059.2</v>
      </c>
      <c r="D160" s="137">
        <f>'DOE25'!H499</f>
        <v>21675</v>
      </c>
      <c r="E160" s="137">
        <f>'DOE25'!I499</f>
        <v>253046.94</v>
      </c>
      <c r="F160" s="137">
        <f>'DOE25'!J499</f>
        <v>373275</v>
      </c>
      <c r="G160" s="138">
        <f t="shared" si="0"/>
        <v>1708908.64</v>
      </c>
    </row>
    <row r="161" spans="1:7" x14ac:dyDescent="0.2">
      <c r="A161" s="22" t="s">
        <v>37</v>
      </c>
      <c r="B161" s="137">
        <f>'DOE25'!F500</f>
        <v>4580852.5</v>
      </c>
      <c r="C161" s="137">
        <f>'DOE25'!G500</f>
        <v>3190059.2</v>
      </c>
      <c r="D161" s="137">
        <f>'DOE25'!H500</f>
        <v>531675</v>
      </c>
      <c r="E161" s="137">
        <f>'DOE25'!I500</f>
        <v>2818046.94</v>
      </c>
      <c r="F161" s="137">
        <f>'DOE25'!J500</f>
        <v>3488275</v>
      </c>
      <c r="G161" s="138">
        <f t="shared" si="0"/>
        <v>14608908.640000001</v>
      </c>
    </row>
    <row r="162" spans="1:7" x14ac:dyDescent="0.2">
      <c r="A162" s="22" t="s">
        <v>38</v>
      </c>
      <c r="B162" s="137">
        <f>'DOE25'!F501</f>
        <v>665000</v>
      </c>
      <c r="C162" s="137">
        <f>'DOE25'!G501</f>
        <v>45000</v>
      </c>
      <c r="D162" s="137">
        <f>'DOE25'!H501</f>
        <v>255000</v>
      </c>
      <c r="E162" s="137">
        <f>'DOE25'!I501</f>
        <v>305000</v>
      </c>
      <c r="F162" s="137">
        <f>'DOE25'!J501</f>
        <v>390000</v>
      </c>
      <c r="G162" s="138">
        <f t="shared" si="0"/>
        <v>1660000</v>
      </c>
    </row>
    <row r="163" spans="1:7" x14ac:dyDescent="0.2">
      <c r="A163" s="22" t="s">
        <v>39</v>
      </c>
      <c r="B163" s="137">
        <f>'DOE25'!F502</f>
        <v>178552.5</v>
      </c>
      <c r="C163" s="137">
        <f>'DOE25'!G502</f>
        <v>49245.83</v>
      </c>
      <c r="D163" s="137">
        <f>'DOE25'!H502</f>
        <v>16256.25</v>
      </c>
      <c r="E163" s="137">
        <f>'DOE25'!I502</f>
        <v>52343.76</v>
      </c>
      <c r="F163" s="137">
        <f>'DOE25'!J502</f>
        <v>87600</v>
      </c>
      <c r="G163" s="138">
        <f t="shared" si="0"/>
        <v>383998.34</v>
      </c>
    </row>
    <row r="164" spans="1:7" x14ac:dyDescent="0.2">
      <c r="A164" s="22" t="s">
        <v>246</v>
      </c>
      <c r="B164" s="137">
        <f>'DOE25'!F503</f>
        <v>843552.5</v>
      </c>
      <c r="C164" s="137">
        <f>'DOE25'!G503</f>
        <v>94245.83</v>
      </c>
      <c r="D164" s="137">
        <f>'DOE25'!H503</f>
        <v>271256.25</v>
      </c>
      <c r="E164" s="137">
        <f>'DOE25'!I503</f>
        <v>357343.76</v>
      </c>
      <c r="F164" s="137">
        <f>'DOE25'!J503</f>
        <v>477600</v>
      </c>
      <c r="G164" s="138">
        <f t="shared" si="0"/>
        <v>2043998.34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LONDONDERRY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16438</v>
      </c>
    </row>
    <row r="5" spans="1:4" x14ac:dyDescent="0.2">
      <c r="B5" t="s">
        <v>703</v>
      </c>
      <c r="C5" s="179">
        <f>IF('DOE25'!G665+'DOE25'!G670=0,0,ROUND('DOE25'!G672,0))</f>
        <v>13871</v>
      </c>
    </row>
    <row r="6" spans="1:4" x14ac:dyDescent="0.2">
      <c r="B6" t="s">
        <v>62</v>
      </c>
      <c r="C6" s="179">
        <f>IF('DOE25'!H665+'DOE25'!H670=0,0,ROUND('DOE25'!H672,0))</f>
        <v>15526</v>
      </c>
    </row>
    <row r="7" spans="1:4" x14ac:dyDescent="0.2">
      <c r="B7" t="s">
        <v>704</v>
      </c>
      <c r="C7" s="179">
        <f>IF('DOE25'!I665+'DOE25'!I670=0,0,ROUND('DOE25'!I672,0))</f>
        <v>15479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28382909</v>
      </c>
      <c r="D10" s="182">
        <f>ROUND((C10/$C$28)*100,1)</f>
        <v>40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14501269</v>
      </c>
      <c r="D11" s="182">
        <f>ROUND((C11/$C$28)*100,1)</f>
        <v>20.399999999999999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94431</v>
      </c>
      <c r="D12" s="182">
        <f>ROUND((C12/$C$28)*100,1)</f>
        <v>0.1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1624498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6445229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1984362</v>
      </c>
      <c r="D16" s="182">
        <f t="shared" si="0"/>
        <v>2.8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3064906</v>
      </c>
      <c r="D17" s="182">
        <f t="shared" si="0"/>
        <v>4.3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3350360</v>
      </c>
      <c r="D18" s="182">
        <f t="shared" si="0"/>
        <v>4.7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912972</v>
      </c>
      <c r="D19" s="182">
        <f t="shared" si="0"/>
        <v>1.3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6126862</v>
      </c>
      <c r="D20" s="182">
        <f t="shared" si="0"/>
        <v>8.6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3467554</v>
      </c>
      <c r="D21" s="182">
        <f t="shared" si="0"/>
        <v>4.9000000000000004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80063</v>
      </c>
      <c r="D24" s="182">
        <f t="shared" si="0"/>
        <v>0.1</v>
      </c>
    </row>
    <row r="25" spans="1:4" x14ac:dyDescent="0.2">
      <c r="A25">
        <v>5120</v>
      </c>
      <c r="B25" t="s">
        <v>719</v>
      </c>
      <c r="C25" s="179">
        <f>ROUND('DOE25'!L261+'DOE25'!L342,0)</f>
        <v>607144</v>
      </c>
      <c r="D25" s="182">
        <f t="shared" si="0"/>
        <v>0.9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7585.5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329221.68999999994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70979366.189999998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397275</v>
      </c>
    </row>
    <row r="30" spans="1:4" x14ac:dyDescent="0.2">
      <c r="B30" s="187" t="s">
        <v>728</v>
      </c>
      <c r="C30" s="180">
        <f>SUM(C28:C29)</f>
        <v>71376641.189999998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2105000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50964891</v>
      </c>
      <c r="D35" s="182">
        <f t="shared" ref="D35:D40" si="1">ROUND((C35/$C$41)*100,1)</f>
        <v>69.5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1257649.9199999943</v>
      </c>
      <c r="D36" s="182">
        <f t="shared" si="1"/>
        <v>1.7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17922047</v>
      </c>
      <c r="D37" s="182">
        <f t="shared" si="1"/>
        <v>24.4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1013098</v>
      </c>
      <c r="D38" s="182">
        <f t="shared" si="1"/>
        <v>1.4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2172073</v>
      </c>
      <c r="D39" s="182">
        <f t="shared" si="1"/>
        <v>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73329758.919999987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LONDONDERRY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2017-08-31T12:49:14Z</cp:lastPrinted>
  <dcterms:created xsi:type="dcterms:W3CDTF">1997-12-04T19:04:30Z</dcterms:created>
  <dcterms:modified xsi:type="dcterms:W3CDTF">2017-11-29T17:36:46Z</dcterms:modified>
</cp:coreProperties>
</file>