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D12" i="13" s="1"/>
  <c r="C12" i="13" s="1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K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E121" i="2"/>
  <c r="C122" i="2"/>
  <c r="E122" i="2"/>
  <c r="C123" i="2"/>
  <c r="E123" i="2"/>
  <c r="C124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J641" i="1" s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G647" i="1" s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J636" i="1" s="1"/>
  <c r="H637" i="1"/>
  <c r="H638" i="1"/>
  <c r="G640" i="1"/>
  <c r="H640" i="1"/>
  <c r="J640" i="1" s="1"/>
  <c r="H641" i="1"/>
  <c r="H642" i="1"/>
  <c r="G643" i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L256" i="1"/>
  <c r="G257" i="1"/>
  <c r="G271" i="1" s="1"/>
  <c r="G164" i="2"/>
  <c r="C18" i="2"/>
  <c r="C26" i="10"/>
  <c r="L328" i="1"/>
  <c r="L351" i="1"/>
  <c r="L290" i="1"/>
  <c r="A31" i="1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J257" i="1"/>
  <c r="J271" i="1" s="1"/>
  <c r="H112" i="1"/>
  <c r="F112" i="1"/>
  <c r="J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H571" i="1"/>
  <c r="L560" i="1"/>
  <c r="J545" i="1"/>
  <c r="F338" i="1"/>
  <c r="F352" i="1" s="1"/>
  <c r="H192" i="1"/>
  <c r="F552" i="1"/>
  <c r="C35" i="10"/>
  <c r="L309" i="1"/>
  <c r="D5" i="13"/>
  <c r="C5" i="13" s="1"/>
  <c r="E16" i="13"/>
  <c r="C16" i="13" s="1"/>
  <c r="J655" i="1"/>
  <c r="L570" i="1"/>
  <c r="I571" i="1"/>
  <c r="G36" i="2"/>
  <c r="L565" i="1"/>
  <c r="C22" i="13"/>
  <c r="C138" i="2"/>
  <c r="C121" i="2" l="1"/>
  <c r="J647" i="1"/>
  <c r="J625" i="1"/>
  <c r="K257" i="1"/>
  <c r="I662" i="1"/>
  <c r="C78" i="2"/>
  <c r="C81" i="2" s="1"/>
  <c r="L270" i="1"/>
  <c r="G112" i="1"/>
  <c r="C32" i="10"/>
  <c r="C20" i="10"/>
  <c r="I257" i="1"/>
  <c r="I271" i="1" s="1"/>
  <c r="I545" i="1"/>
  <c r="E128" i="2"/>
  <c r="E110" i="2"/>
  <c r="J645" i="1"/>
  <c r="J644" i="1"/>
  <c r="J639" i="1"/>
  <c r="I552" i="1"/>
  <c r="L545" i="1"/>
  <c r="H545" i="1"/>
  <c r="G545" i="1"/>
  <c r="K552" i="1"/>
  <c r="K503" i="1"/>
  <c r="K500" i="1"/>
  <c r="I369" i="1"/>
  <c r="H634" i="1" s="1"/>
  <c r="J634" i="1" s="1"/>
  <c r="H338" i="1"/>
  <c r="H352" i="1" s="1"/>
  <c r="C16" i="10"/>
  <c r="K271" i="1"/>
  <c r="C131" i="2"/>
  <c r="H33" i="13"/>
  <c r="E33" i="13"/>
  <c r="D35" i="13" s="1"/>
  <c r="D14" i="13"/>
  <c r="C14" i="13" s="1"/>
  <c r="C119" i="2"/>
  <c r="C128" i="2" s="1"/>
  <c r="D7" i="13"/>
  <c r="C7" i="13" s="1"/>
  <c r="C115" i="2"/>
  <c r="D145" i="2"/>
  <c r="L362" i="1"/>
  <c r="E115" i="2"/>
  <c r="H660" i="1"/>
  <c r="H664" i="1" s="1"/>
  <c r="H667" i="1" s="1"/>
  <c r="F257" i="1"/>
  <c r="F271" i="1" s="1"/>
  <c r="L247" i="1"/>
  <c r="C11" i="10"/>
  <c r="L211" i="1"/>
  <c r="L257" i="1" s="1"/>
  <c r="L271" i="1" s="1"/>
  <c r="G632" i="1" s="1"/>
  <c r="J632" i="1" s="1"/>
  <c r="C62" i="2"/>
  <c r="C63" i="2" s="1"/>
  <c r="J622" i="1"/>
  <c r="H52" i="1"/>
  <c r="H619" i="1" s="1"/>
  <c r="J619" i="1" s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104" i="2" l="1"/>
  <c r="H646" i="1"/>
  <c r="J646" i="1" s="1"/>
  <c r="D31" i="13"/>
  <c r="C31" i="13" s="1"/>
  <c r="E145" i="2"/>
  <c r="C145" i="2"/>
  <c r="F660" i="1"/>
  <c r="C28" i="10"/>
  <c r="D23" i="10" s="1"/>
  <c r="H672" i="1"/>
  <c r="C6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0" i="10"/>
  <c r="D15" i="10"/>
  <c r="D19" i="10"/>
  <c r="F664" i="1"/>
  <c r="I660" i="1"/>
  <c r="I664" i="1" s="1"/>
  <c r="I672" i="1" s="1"/>
  <c r="C7" i="10" s="1"/>
  <c r="D25" i="10"/>
  <c r="D18" i="10"/>
  <c r="D12" i="10"/>
  <c r="D27" i="10"/>
  <c r="D17" i="10"/>
  <c r="D24" i="10"/>
  <c r="D13" i="10"/>
  <c r="D11" i="10"/>
  <c r="D21" i="10"/>
  <c r="D22" i="10"/>
  <c r="D10" i="10"/>
  <c r="D26" i="10"/>
  <c r="C30" i="10"/>
  <c r="D16" i="10"/>
  <c r="H656" i="1"/>
  <c r="C41" i="10"/>
  <c r="D38" i="10" s="1"/>
  <c r="I667" i="1" l="1"/>
  <c r="F672" i="1"/>
  <c r="C4" i="10" s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<sst xmlns="http://schemas.openxmlformats.org/spreadsheetml/2006/main" count="3957" uniqueCount="915">
  <si>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</si>
  <si>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</si>
  <si>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</si>
  <si>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</si>
  <si>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</si>
  <si>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</si>
  <si>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</si>
  <si>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</si>
  <si>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</si>
  <si>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</si>
  <si>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</si>
  <si>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</si>
  <si>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</si>
  <si>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</si>
  <si>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</si>
  <si>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</si>
  <si>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</si>
  <si>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</si>
  <si>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</si>
  <si>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</si>
  <si>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</si>
  <si>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</si>
  <si>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</si>
  <si>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</si>
  <si>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</si>
  <si>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</si>
  <si>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</si>
  <si>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</si>
  <si>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</si>
  <si>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</si>
  <si>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</si>
  <si>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</si>
  <si>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</si>
  <si>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</si>
  <si>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</si>
  <si>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</si>
  <si>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</si>
  <si>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</si>
  <si>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</si>
  <si>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</si>
  <si>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</si>
  <si>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</si>
  <si>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</si>
  <si>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</si>
  <si>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</si>
  <si>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</si>
  <si>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</si>
  <si>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</si>
  <si>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</si>
  <si>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</si>
  <si>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</si>
  <si>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</si>
  <si>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</si>
  <si>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</si>
  <si>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</si>
  <si>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</si>
  <si>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</si>
  <si>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</si>
  <si>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</si>
  <si>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</si>
  <si>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</si>
  <si>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</si>
  <si>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</si>
  <si>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</si>
  <si>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</si>
  <si>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</si>
  <si>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</si>
  <si>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</si>
  <si>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</si>
  <si>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</si>
  <si>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</si>
  <si>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</si>
  <si>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</si>
  <si>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</si>
  <si>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</si>
  <si>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</si>
  <si>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</si>
  <si>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</si>
  <si>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</si>
  <si>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</si>
  <si>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</si>
  <si>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</si>
  <si>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</si>
  <si>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</si>
  <si>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</si>
  <si>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</si>
  <si>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</si>
  <si>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</si>
  <si>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</si>
  <si>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</si>
  <si>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</si>
  <si>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</si>
  <si>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</si>
  <si>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</si>
  <si>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</si>
  <si>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</si>
  <si>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</si>
  <si>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</si>
  <si>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</si>
  <si>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</si>
  <si>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</si>
  <si>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</si>
  <si>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</si>
  <si>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</si>
  <si>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</si>
  <si>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</si>
  <si>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</si>
  <si>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</si>
  <si>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</si>
  <si>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</si>
  <si>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</si>
  <si>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</si>
  <si>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</si>
  <si>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</si>
  <si>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</si>
  <si>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</si>
  <si>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</si>
  <si>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</si>
  <si>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</si>
  <si>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</si>
  <si>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</si>
  <si>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</si>
  <si>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</si>
  <si>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</si>
  <si>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</si>
  <si>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</si>
  <si>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</si>
  <si>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</si>
  <si>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</si>
  <si>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</si>
  <si>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</si>
  <si>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</si>
  <si>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</si>
  <si>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</si>
  <si>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</si>
  <si>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</si>
  <si>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</si>
  <si>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</si>
  <si>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</si>
  <si>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</si>
  <si>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</si>
  <si>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</si>
  <si>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</si>
  <si>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</si>
  <si>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</si>
  <si>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</si>
  <si>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</si>
  <si>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</si>
  <si>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</si>
  <si>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</si>
  <si>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</si>
  <si>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</si>
  <si>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</si>
  <si>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</si>
  <si>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</si>
  <si>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</si>
  <si>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</si>
  <si>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</si>
  <si>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</si>
  <si>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</si>
  <si>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</si>
  <si>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</si>
  <si>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</si>
  <si>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</si>
  <si>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</si>
  <si>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</si>
  <si>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</si>
  <si>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</si>
  <si>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</si>
  <si>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</si>
  <si>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</si>
  <si>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</si>
  <si>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</si>
  <si>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</si>
  <si>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</si>
  <si>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</si>
  <si>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</si>
  <si>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</si>
  <si>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</si>
  <si>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</si>
  <si>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</si>
  <si>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</si>
  <si>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</si>
  <si>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</si>
  <si>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</si>
  <si>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</si>
  <si>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</si>
  <si>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</si>
  <si>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</si>
  <si>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</si>
  <si>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</si>
  <si>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</si>
  <si>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</si>
  <si>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</si>
  <si>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</si>
  <si>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</si>
  <si>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</si>
  <si>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</si>
  <si>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</si>
  <si>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</si>
  <si>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</si>
  <si>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</si>
  <si>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</si>
  <si>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</si>
  <si>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</si>
  <si>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</si>
  <si>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</si>
  <si>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</si>
  <si>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</si>
  <si>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</si>
  <si>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</si>
  <si>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</si>
  <si>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</si>
  <si>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</si>
  <si>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</si>
  <si>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</si>
  <si>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</si>
  <si>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</si>
  <si>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</si>
  <si>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</si>
  <si>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</si>
  <si>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</si>
  <si>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</si>
  <si>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</si>
  <si>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</si>
  <si>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</si>
  <si>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</si>
  <si>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</si>
  <si>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</si>
  <si>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</si>
  <si>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</si>
  <si>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</si>
  <si>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</si>
  <si>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</si>
  <si>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</si>
  <si>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</si>
  <si>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</si>
  <si>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</si>
  <si>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</si>
  <si>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</si>
  <si>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</si>
  <si>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</si>
  <si>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</si>
  <si>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</si>
  <si>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</si>
  <si>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</si>
  <si>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</si>
  <si>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</si>
  <si>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</si>
  <si>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</si>
  <si>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</si>
  <si>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</si>
  <si>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</si>
  <si>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</si>
  <si>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</si>
  <si>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</si>
  <si>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</si>
  <si>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</si>
  <si>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</si>
  <si>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</si>
  <si>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</si>
  <si>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</si>
  <si>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</si>
  <si>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</si>
  <si>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</si>
  <si>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</si>
  <si>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</si>
  <si>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</si>
  <si>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</si>
  <si>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</si>
  <si>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</si>
  <si>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</si>
  <si>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</si>
  <si>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</si>
  <si>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</si>
  <si>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</si>
  <si>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</si>
  <si>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</si>
  <si>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</si>
  <si>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</si>
  <si>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</si>
  <si>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</si>
  <si>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</si>
  <si>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</si>
  <si>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</si>
  <si>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</si>
  <si>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</si>
  <si>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</si>
  <si>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</si>
  <si>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</si>
  <si>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</si>
  <si>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</si>
  <si>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</si>
  <si>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</si>
  <si>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</si>
  <si>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</si>
  <si>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</si>
  <si>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</si>
  <si>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</si>
  <si>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</si>
  <si>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</si>
  <si>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</si>
  <si>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</si>
  <si>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</si>
  <si>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</si>
  <si>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</si>
  <si>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</si>
  <si>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</si>
  <si>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</si>
  <si>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</si>
  <si>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</si>
  <si>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</si>
  <si>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</si>
  <si>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</si>
  <si>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</si>
  <si>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</si>
  <si>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</si>
  <si>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</si>
  <si>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</si>
  <si>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</si>
  <si>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</si>
  <si>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</si>
  <si>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</si>
  <si>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</si>
  <si>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</si>
  <si>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</si>
  <si>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</si>
  <si>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</si>
  <si>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</si>
  <si>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</si>
  <si>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</si>
  <si>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</si>
  <si>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</si>
  <si>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</si>
  <si>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</si>
  <si>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</si>
  <si>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</si>
  <si>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</si>
  <si>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</si>
  <si>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</si>
  <si>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</si>
  <si>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</si>
  <si>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</si>
  <si>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</si>
  <si>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</si>
  <si>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</si>
  <si>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</si>
  <si>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</si>
  <si>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</si>
  <si>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</si>
  <si>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</si>
  <si>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</si>
  <si>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</si>
  <si>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</si>
  <si>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</si>
  <si>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</si>
  <si>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</si>
  <si>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</si>
  <si>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</si>
  <si>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</si>
  <si>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</si>
  <si>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</si>
  <si>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</si>
  <si>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</si>
  <si>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</si>
  <si>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</si>
  <si>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</si>
  <si>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</si>
  <si>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</si>
  <si>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</si>
  <si>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</si>
  <si>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</si>
  <si>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</si>
  <si>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</si>
  <si>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</si>
  <si>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</si>
  <si>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</si>
  <si>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</si>
  <si>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</si>
  <si>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</si>
  <si>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</si>
  <si>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</si>
  <si>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</si>
  <si>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</si>
  <si>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</si>
  <si>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</si>
  <si>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</si>
  <si>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</si>
  <si>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</si>
  <si>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</si>
  <si>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</si>
  <si>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</si>
  <si>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</si>
  <si>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</si>
  <si>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</si>
  <si>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</si>
  <si>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</si>
  <si>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</si>
  <si>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</si>
  <si>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</si>
  <si>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</si>
  <si>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</si>
  <si>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</si>
  <si>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</si>
  <si>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</si>
  <si>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</si>
  <si>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</si>
  <si>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</si>
  <si>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</si>
  <si>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</si>
  <si>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</si>
  <si>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</si>
  <si>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</si>
  <si>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</si>
  <si>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</si>
  <si>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</si>
  <si>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</si>
  <si>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</si>
  <si>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</si>
  <si>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</si>
  <si>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</si>
  <si>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</si>
  <si>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</si>
  <si>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</si>
  <si>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</si>
  <si>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</si>
  <si>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</si>
  <si>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</si>
  <si>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</si>
  <si>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</si>
  <si>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</si>
  <si>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</si>
  <si>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</si>
  <si>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</si>
  <si>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</si>
  <si>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</si>
  <si>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</si>
  <si>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</si>
  <si>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</si>
  <si>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</si>
  <si>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</si>
  <si>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</si>
  <si>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</si>
  <si>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</si>
  <si>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</si>
  <si>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</si>
  <si>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</si>
  <si>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</si>
  <si>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</si>
  <si>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</si>
  <si>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</si>
  <si>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</si>
  <si>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</si>
  <si>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</si>
  <si>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</si>
  <si>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</si>
  <si>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</si>
  <si>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</si>
  <si>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</si>
  <si>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</si>
  <si>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</si>
  <si>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</si>
  <si>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</si>
  <si>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</si>
  <si>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</si>
  <si>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</si>
  <si>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</si>
  <si>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</si>
  <si>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</si>
  <si>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</si>
  <si>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</si>
  <si>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</si>
  <si>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</si>
  <si>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</si>
  <si>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</si>
  <si>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</si>
  <si>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</si>
  <si>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</si>
  <si>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</si>
  <si>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</si>
  <si>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</si>
  <si>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</si>
  <si>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</si>
  <si>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</si>
  <si>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</si>
  <si>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</si>
  <si>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</si>
  <si>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</si>
  <si>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</si>
  <si>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</si>
  <si>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</si>
  <si>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</si>
  <si>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</si>
  <si>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</si>
  <si>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</si>
  <si>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</si>
  <si>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</si>
  <si>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</si>
  <si>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</si>
  <si>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</si>
  <si>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</si>
  <si>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</si>
  <si>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</si>
  <si>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</si>
  <si>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</si>
  <si>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</si>
  <si>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</si>
  <si>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</si>
  <si>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</si>
  <si>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</si>
  <si>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</si>
  <si>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</si>
  <si>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</si>
  <si>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</si>
  <si>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</si>
  <si>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</si>
  <si>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</si>
  <si>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</si>
  <si>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</si>
  <si>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</si>
  <si>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</si>
  <si>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</si>
  <si>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</si>
  <si>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</si>
  <si>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</si>
  <si>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</si>
  <si>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</si>
  <si>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</si>
  <si>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</si>
  <si>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</si>
  <si>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</si>
  <si>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</si>
  <si>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</si>
  <si>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</si>
  <si>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</si>
  <si>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</si>
  <si>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</si>
  <si>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</si>
  <si>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</si>
  <si>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</si>
  <si>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</si>
  <si>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</si>
  <si>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</si>
  <si>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</si>
  <si>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</si>
  <si>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</si>
  <si>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</si>
  <si>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</si>
  <si>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</si>
  <si>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</si>
  <si>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</si>
  <si>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</si>
  <si>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</si>
  <si>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</si>
  <si>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</si>
  <si>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</si>
  <si>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</si>
  <si>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</si>
  <si>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</si>
  <si>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</si>
  <si>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</si>
  <si>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</si>
  <si>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</si>
  <si>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</si>
  <si>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</si>
  <si>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</si>
  <si>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</si>
  <si>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</si>
  <si>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</si>
  <si>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</si>
  <si>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</si>
  <si>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</si>
  <si>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</si>
  <si>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</si>
  <si>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</si>
  <si>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</si>
  <si>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</si>
  <si>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</si>
  <si>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</si>
  <si>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</si>
  <si>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</si>
  <si>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</si>
  <si>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</si>
  <si>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</si>
  <si>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</si>
  <si>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</si>
  <si>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</si>
  <si>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</si>
  <si>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</si>
  <si>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</si>
  <si>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</si>
  <si>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</si>
  <si>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</si>
  <si>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</si>
  <si>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</si>
  <si>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</si>
  <si>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</si>
  <si>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</si>
  <si>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</si>
  <si>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</si>
  <si>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</si>
  <si>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</si>
  <si>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</si>
  <si>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</si>
  <si>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</si>
  <si>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</si>
  <si>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</si>
  <si>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</si>
  <si>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</si>
  <si>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</si>
  <si>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</si>
  <si>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</si>
  <si>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</si>
  <si>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</si>
  <si>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</si>
  <si>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</si>
  <si>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</si>
  <si>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</si>
  <si>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</si>
  <si>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</si>
  <si>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</si>
  <si>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</si>
  <si>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</si>
  <si>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</si>
  <si>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</si>
  <si>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</si>
  <si>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</si>
  <si>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</si>
  <si>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</si>
  <si>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</si>
  <si>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</si>
  <si>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</si>
  <si>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</si>
  <si>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</si>
  <si>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</si>
  <si>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</si>
  <si>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</si>
  <si>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</si>
  <si>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</si>
  <si>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</si>
  <si>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</si>
  <si>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</si>
  <si>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</si>
  <si>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</si>
  <si>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</si>
  <si>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</si>
  <si>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</si>
  <si>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</si>
  <si>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</si>
  <si>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</si>
  <si>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</si>
  <si>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</si>
  <si>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</si>
  <si>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</si>
  <si>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</si>
  <si>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</si>
  <si>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</si>
  <si>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</si>
  <si>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</si>
  <si>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</si>
  <si>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</si>
  <si>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</si>
  <si>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</si>
  <si>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</si>
  <si>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</si>
  <si>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</si>
  <si>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</si>
  <si>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</si>
  <si>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</si>
  <si>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</si>
  <si>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</si>
  <si>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</si>
  <si>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</si>
  <si>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</si>
  <si>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</si>
  <si>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</si>
  <si>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</si>
  <si>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</si>
  <si>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</si>
  <si>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</si>
  <si>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</si>
  <si>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</si>
  <si>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</si>
  <si>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</si>
  <si>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</si>
  <si>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</si>
  <si>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</si>
  <si>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</si>
  <si>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</si>
  <si>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</si>
  <si>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</si>
  <si>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</si>
  <si>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</si>
  <si>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</si>
  <si>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</si>
  <si>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</si>
  <si>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</si>
  <si>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</si>
  <si>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</si>
  <si>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</si>
  <si>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</si>
  <si>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</si>
  <si>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</si>
  <si>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</si>
  <si>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</si>
  <si>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</si>
  <si>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</si>
  <si>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</si>
  <si>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</si>
  <si>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</si>
  <si>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</si>
  <si>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</si>
  <si>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</si>
  <si>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</si>
  <si>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</si>
  <si>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</si>
  <si>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</si>
  <si>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</si>
  <si>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</si>
  <si>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</si>
  <si>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</si>
  <si>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</si>
  <si>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</si>
  <si>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</si>
  <si>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</si>
  <si>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</si>
  <si>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</si>
  <si>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</si>
  <si>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</si>
  <si>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</si>
  <si>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</si>
  <si>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</si>
  <si>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</si>
  <si>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</si>
  <si>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</si>
  <si>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</si>
  <si>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</si>
  <si>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</si>
  <si>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</si>
  <si>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</si>
  <si>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</si>
  <si>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</si>
  <si>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</si>
  <si>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</si>
  <si>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</si>
  <si>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</si>
  <si>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</si>
  <si>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</si>
  <si>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</si>
  <si>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</si>
  <si>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</si>
  <si>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</si>
  <si>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</si>
  <si>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</si>
  <si>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</si>
  <si>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</si>
  <si>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</si>
  <si>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</si>
  <si>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</si>
  <si>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</si>
  <si>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</si>
  <si>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</si>
  <si>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</si>
  <si>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</si>
  <si>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</si>
  <si>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</si>
  <si>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</si>
  <si>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</si>
  <si>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</si>
  <si>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</si>
  <si>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</si>
  <si>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</si>
  <si>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</si>
  <si>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</si>
  <si>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</si>
  <si>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</si>
  <si>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</si>
  <si>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</si>
  <si>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</si>
  <si>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</si>
  <si>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</si>
  <si>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</si>
  <si>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</si>
  <si>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</si>
  <si>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</si>
  <si>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</si>
  <si>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</si>
  <si>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</si>
  <si>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</si>
  <si>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</si>
  <si>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</si>
  <si>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</si>
  <si>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</si>
  <si>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</si>
  <si>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</si>
  <si>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</si>
  <si>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</si>
  <si>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</si>
  <si>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</si>
  <si>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</si>
  <si>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</si>
  <si>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</si>
  <si>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</si>
  <si>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</si>
  <si>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</si>
  <si>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</si>
  <si>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</si>
  <si>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</si>
  <si>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</si>
  <si>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</si>
  <si>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</si>
  <si>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</si>
  <si>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</si>
  <si>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</si>
  <si>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</si>
  <si>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</si>
  <si>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</si>
  <si>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</si>
  <si>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</si>
  <si>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</si>
  <si>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</si>
  <si>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</si>
  <si>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</si>
  <si>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</si>
  <si>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</si>
  <si>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</si>
  <si>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</si>
  <si>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</si>
  <si>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</si>
  <si>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</si>
  <si>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</si>
  <si>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</si>
  <si>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</si>
  <si>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</si>
  <si>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</si>
  <si>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</si>
  <si>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</si>
  <si>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</si>
  <si>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</si>
  <si>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</si>
  <si>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</si>
  <si>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</si>
  <si>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</si>
  <si>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</si>
  <si>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</si>
  <si>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</si>
  <si>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</si>
  <si>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</si>
  <si>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</si>
  <si>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</si>
  <si>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</si>
  <si>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</si>
  <si>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</si>
  <si>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</si>
  <si>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</si>
  <si>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</si>
  <si>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</si>
  <si>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</si>
  <si>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</si>
  <si>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</si>
  <si>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</si>
  <si>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</si>
  <si>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</si>
  <si>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</si>
  <si>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</si>
  <si>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</si>
  <si>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</si>
  <si>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</si>
  <si>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</si>
  <si>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</si>
  <si>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</si>
  <si>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</si>
  <si>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</si>
  <si>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</si>
  <si>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</si>
  <si>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</si>
  <si>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</si>
  <si>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</si>
  <si>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</si>
  <si>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</si>
  <si>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</si>
  <si>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</si>
  <si>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</si>
  <si>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</si>
  <si>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</si>
  <si>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</si>
  <si>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</si>
  <si>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</si>
  <si>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</si>
  <si>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</si>
  <si>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</si>
  <si>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</si>
  <si>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</si>
  <si>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</si>
  <si>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</si>
  <si>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</si>
  <si>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</si>
  <si>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</si>
  <si>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</si>
  <si>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</si>
  <si>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</si>
  <si>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</si>
  <si>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</si>
  <si>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</si>
  <si>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</si>
  <si>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</si>
  <si>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</si>
  <si>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</si>
  <si>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</si>
  <si>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</si>
  <si>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</si>
  <si>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</si>
  <si>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8/2014</t>
  </si>
  <si>
    <t>08/34</t>
  </si>
  <si>
    <t>Lyme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</si>
</sst>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185" sqref="F18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327</v>
      </c>
      <c r="C2" s="21">
        <v>327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83622.78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929444.9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904.28</v>
      </c>
      <c r="H14" s="18">
        <v>10479.040000000001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614.34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2500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86737.12</v>
      </c>
      <c r="G19" s="41">
        <f>SUM(G9:G18)</f>
        <v>904.28</v>
      </c>
      <c r="H19" s="41">
        <f>SUM(H9:H18)</f>
        <v>10479.040000000001</v>
      </c>
      <c r="I19" s="41">
        <f>SUM(I9:I18)</f>
        <v>0</v>
      </c>
      <c r="J19" s="41">
        <f>SUM(J9:J18)</f>
        <v>929444.9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-8005.85</v>
      </c>
      <c r="G22" s="18">
        <v>-169.47</v>
      </c>
      <c r="H22" s="18">
        <v>8175.32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20850.61</v>
      </c>
      <c r="G24" s="18">
        <v>1073.75</v>
      </c>
      <c r="H24" s="18">
        <v>2303.7199999999998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12844.76</v>
      </c>
      <c r="G32" s="41">
        <f>SUM(G22:G31)</f>
        <v>904.28</v>
      </c>
      <c r="H32" s="41">
        <f>SUM(H22:H31)</f>
        <v>10479.039999999999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929444.9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52222.91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21669.45</v>
      </c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73892.36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929444.9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86737.12</v>
      </c>
      <c r="G52" s="41">
        <f>G51+G32</f>
        <v>904.28</v>
      </c>
      <c r="H52" s="41">
        <f>H51+H32</f>
        <v>10479.039999999999</v>
      </c>
      <c r="I52" s="41">
        <f>I51+I32</f>
        <v>0</v>
      </c>
      <c r="J52" s="41">
        <f>J51+J32</f>
        <v>929444.9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5043829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5043829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10707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10707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301.93</v>
      </c>
      <c r="G96" s="18"/>
      <c r="H96" s="18"/>
      <c r="I96" s="18"/>
      <c r="J96" s="18">
        <v>5007.42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64675.68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26689.08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12298.99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39290</v>
      </c>
      <c r="G111" s="41">
        <f>SUM(G96:G110)</f>
        <v>64675.68</v>
      </c>
      <c r="H111" s="41">
        <f>SUM(H96:H110)</f>
        <v>0</v>
      </c>
      <c r="I111" s="41">
        <f>SUM(I96:I110)</f>
        <v>0</v>
      </c>
      <c r="J111" s="41">
        <f>SUM(J96:J110)</f>
        <v>5007.42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5093826</v>
      </c>
      <c r="G112" s="41">
        <f>G60+G111</f>
        <v>64675.68</v>
      </c>
      <c r="H112" s="41">
        <f>H60+H79+H94+H111</f>
        <v>0</v>
      </c>
      <c r="I112" s="41">
        <f>I60+I111</f>
        <v>0</v>
      </c>
      <c r="J112" s="41">
        <f>J60+J111</f>
        <v>5007.42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382809.19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796391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1179200.19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38166.75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6552.17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967.96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44718.92</v>
      </c>
      <c r="G136" s="41">
        <f>SUM(G123:G135)</f>
        <v>967.96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1223919.1099999999</v>
      </c>
      <c r="G140" s="41">
        <f>G121+SUM(G136:G137)</f>
        <v>967.96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22842.639999999999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35521.57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15166.76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47061.279999999999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3495.02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3495.02</v>
      </c>
      <c r="G162" s="41">
        <f>SUM(G150:G161)</f>
        <v>15166.76</v>
      </c>
      <c r="H162" s="41">
        <f>SUM(H150:H161)</f>
        <v>105425.48999999999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428.62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3923.64</v>
      </c>
      <c r="G169" s="41">
        <f>G147+G162+SUM(G163:G168)</f>
        <v>15166.76</v>
      </c>
      <c r="H169" s="41">
        <f>H147+H162+SUM(H163:H168)</f>
        <v>105425.48999999999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26484.6</v>
      </c>
      <c r="H179" s="18"/>
      <c r="I179" s="18"/>
      <c r="J179" s="18">
        <v>101207.8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20000</v>
      </c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20000</v>
      </c>
      <c r="G183" s="41">
        <f>SUM(G179:G182)</f>
        <v>26484.6</v>
      </c>
      <c r="H183" s="41">
        <f>SUM(H179:H182)</f>
        <v>0</v>
      </c>
      <c r="I183" s="41">
        <f>SUM(I179:I182)</f>
        <v>0</v>
      </c>
      <c r="J183" s="41">
        <f>SUM(J179:J182)</f>
        <v>101207.8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20000</v>
      </c>
      <c r="G192" s="41">
        <f>G183+SUM(G188:G191)</f>
        <v>26484.6</v>
      </c>
      <c r="H192" s="41">
        <f>+H183+SUM(H188:H191)</f>
        <v>0</v>
      </c>
      <c r="I192" s="41">
        <f>I177+I183+SUM(I188:I191)</f>
        <v>0</v>
      </c>
      <c r="J192" s="41">
        <f>J183</f>
        <v>101207.8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6341668.7499999991</v>
      </c>
      <c r="G193" s="47">
        <f>G112+G140+G169+G192</f>
        <v>107295</v>
      </c>
      <c r="H193" s="47">
        <f>H112+H140+H169+H192</f>
        <v>105425.48999999999</v>
      </c>
      <c r="I193" s="47">
        <f>I112+I140+I169+I192</f>
        <v>0</v>
      </c>
      <c r="J193" s="47">
        <f>J112+J140+J192</f>
        <v>106215.22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1451652.67</v>
      </c>
      <c r="G197" s="18">
        <v>646881.84</v>
      </c>
      <c r="H197" s="18">
        <v>29452.5</v>
      </c>
      <c r="I197" s="18">
        <v>66257.119999999995</v>
      </c>
      <c r="J197" s="18">
        <v>38220.11</v>
      </c>
      <c r="K197" s="18"/>
      <c r="L197" s="19">
        <f>SUM(F197:K197)</f>
        <v>2232464.2399999998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435722.99</v>
      </c>
      <c r="G198" s="18">
        <v>157017.53</v>
      </c>
      <c r="H198" s="18">
        <v>31484.560000000001</v>
      </c>
      <c r="I198" s="18">
        <v>1202.22</v>
      </c>
      <c r="J198" s="18">
        <v>6720.39</v>
      </c>
      <c r="K198" s="18"/>
      <c r="L198" s="19">
        <f>SUM(F198:K198)</f>
        <v>632147.69000000006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85758.49</v>
      </c>
      <c r="G202" s="18">
        <v>27873.38</v>
      </c>
      <c r="H202" s="18">
        <v>125586.69</v>
      </c>
      <c r="I202" s="18">
        <v>952.61</v>
      </c>
      <c r="J202" s="18">
        <v>567</v>
      </c>
      <c r="K202" s="18"/>
      <c r="L202" s="19">
        <f t="shared" ref="L202:L208" si="0">SUM(F202:K202)</f>
        <v>240738.16999999998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39297.61</v>
      </c>
      <c r="G203" s="18">
        <v>24647.72</v>
      </c>
      <c r="H203" s="18">
        <v>5504.35</v>
      </c>
      <c r="I203" s="18">
        <v>800</v>
      </c>
      <c r="J203" s="18"/>
      <c r="K203" s="18"/>
      <c r="L203" s="19">
        <f t="shared" si="0"/>
        <v>70249.680000000008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182222.8</v>
      </c>
      <c r="G204" s="18">
        <v>43926.95</v>
      </c>
      <c r="H204" s="18">
        <v>67466.22</v>
      </c>
      <c r="I204" s="18">
        <v>6698.64</v>
      </c>
      <c r="J204" s="18">
        <v>6292.13</v>
      </c>
      <c r="K204" s="18">
        <v>3959.14</v>
      </c>
      <c r="L204" s="19">
        <f t="shared" si="0"/>
        <v>310565.88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166808.34</v>
      </c>
      <c r="G205" s="18">
        <v>49012.46</v>
      </c>
      <c r="H205" s="18">
        <v>7124.97</v>
      </c>
      <c r="I205" s="18">
        <v>979.67</v>
      </c>
      <c r="J205" s="18">
        <v>94.99</v>
      </c>
      <c r="K205" s="18">
        <v>75</v>
      </c>
      <c r="L205" s="19">
        <f t="shared" si="0"/>
        <v>224095.43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85565.43</v>
      </c>
      <c r="G207" s="18">
        <v>63198.25</v>
      </c>
      <c r="H207" s="18">
        <v>58021.49</v>
      </c>
      <c r="I207" s="18">
        <v>73132.850000000006</v>
      </c>
      <c r="J207" s="18">
        <v>2830.43</v>
      </c>
      <c r="K207" s="18"/>
      <c r="L207" s="19">
        <f t="shared" si="0"/>
        <v>282748.45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5376.99</v>
      </c>
      <c r="G208" s="18">
        <v>952.86</v>
      </c>
      <c r="H208" s="18">
        <v>105522.18</v>
      </c>
      <c r="I208" s="18">
        <v>1358.71</v>
      </c>
      <c r="J208" s="18"/>
      <c r="K208" s="18"/>
      <c r="L208" s="19">
        <f t="shared" si="0"/>
        <v>113210.74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2452405.3200000003</v>
      </c>
      <c r="G211" s="41">
        <f t="shared" si="1"/>
        <v>1013510.9899999999</v>
      </c>
      <c r="H211" s="41">
        <f t="shared" si="1"/>
        <v>430162.95999999996</v>
      </c>
      <c r="I211" s="41">
        <f t="shared" si="1"/>
        <v>151381.81999999998</v>
      </c>
      <c r="J211" s="41">
        <f t="shared" si="1"/>
        <v>54725.049999999996</v>
      </c>
      <c r="K211" s="41">
        <f t="shared" si="1"/>
        <v>4034.14</v>
      </c>
      <c r="L211" s="41">
        <f t="shared" si="1"/>
        <v>4106220.2800000003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1646426.19</v>
      </c>
      <c r="I233" s="18"/>
      <c r="J233" s="18"/>
      <c r="K233" s="18"/>
      <c r="L233" s="19">
        <f>SUM(F233:K233)</f>
        <v>1646426.19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42824.08</v>
      </c>
      <c r="G234" s="18">
        <v>19807.02</v>
      </c>
      <c r="H234" s="18">
        <v>239675.31</v>
      </c>
      <c r="I234" s="18"/>
      <c r="J234" s="18"/>
      <c r="K234" s="18"/>
      <c r="L234" s="19">
        <f>SUM(F234:K234)</f>
        <v>302306.41000000003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42824.08</v>
      </c>
      <c r="G247" s="41">
        <f t="shared" si="5"/>
        <v>19807.02</v>
      </c>
      <c r="H247" s="41">
        <f t="shared" si="5"/>
        <v>1886101.5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1948732.6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2495229.4000000004</v>
      </c>
      <c r="G257" s="41">
        <f t="shared" si="8"/>
        <v>1033318.0099999999</v>
      </c>
      <c r="H257" s="41">
        <f t="shared" si="8"/>
        <v>2316264.46</v>
      </c>
      <c r="I257" s="41">
        <f t="shared" si="8"/>
        <v>151381.81999999998</v>
      </c>
      <c r="J257" s="41">
        <f t="shared" si="8"/>
        <v>54725.049999999996</v>
      </c>
      <c r="K257" s="41">
        <f t="shared" si="8"/>
        <v>4034.14</v>
      </c>
      <c r="L257" s="41">
        <f t="shared" si="8"/>
        <v>6054952.8800000008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109592.5</v>
      </c>
      <c r="L261" s="19">
        <f>SUM(F261:K261)</f>
        <v>109592.5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26484.6</v>
      </c>
      <c r="L263" s="19">
        <f>SUM(F263:K263)</f>
        <v>26484.6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101207.8</v>
      </c>
      <c r="L266" s="19">
        <f t="shared" si="9"/>
        <v>101207.8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322284.90000000002</v>
      </c>
      <c r="L270" s="41">
        <f t="shared" si="9"/>
        <v>322284.90000000002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2495229.4000000004</v>
      </c>
      <c r="G271" s="42">
        <f t="shared" si="11"/>
        <v>1033318.0099999999</v>
      </c>
      <c r="H271" s="42">
        <f t="shared" si="11"/>
        <v>2316264.46</v>
      </c>
      <c r="I271" s="42">
        <f t="shared" si="11"/>
        <v>151381.81999999998</v>
      </c>
      <c r="J271" s="42">
        <f t="shared" si="11"/>
        <v>54725.049999999996</v>
      </c>
      <c r="K271" s="42">
        <f t="shared" si="11"/>
        <v>326319.04000000004</v>
      </c>
      <c r="L271" s="42">
        <f t="shared" si="11"/>
        <v>6377237.7800000012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20431.8</v>
      </c>
      <c r="G276" s="18">
        <v>1160.8399999999999</v>
      </c>
      <c r="H276" s="18"/>
      <c r="I276" s="18">
        <v>323.72000000000003</v>
      </c>
      <c r="J276" s="18"/>
      <c r="K276" s="18"/>
      <c r="L276" s="19">
        <f>SUM(F276:K276)</f>
        <v>21916.36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12527.92</v>
      </c>
      <c r="G277" s="18"/>
      <c r="H277" s="18">
        <v>990</v>
      </c>
      <c r="I277" s="18"/>
      <c r="J277" s="18"/>
      <c r="K277" s="18"/>
      <c r="L277" s="19">
        <f>SUM(F277:K277)</f>
        <v>13517.92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205.98</v>
      </c>
      <c r="G281" s="18">
        <v>2724</v>
      </c>
      <c r="H281" s="18">
        <v>46097.14</v>
      </c>
      <c r="I281" s="18">
        <v>5662.14</v>
      </c>
      <c r="J281" s="18">
        <v>910.99</v>
      </c>
      <c r="K281" s="18"/>
      <c r="L281" s="19">
        <f t="shared" ref="L281:L287" si="12">SUM(F281:K281)</f>
        <v>55600.25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250</v>
      </c>
      <c r="H282" s="18">
        <v>7765.96</v>
      </c>
      <c r="I282" s="18"/>
      <c r="J282" s="18"/>
      <c r="K282" s="18"/>
      <c r="L282" s="19">
        <f t="shared" si="12"/>
        <v>8015.96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33165.700000000004</v>
      </c>
      <c r="G290" s="42">
        <f t="shared" si="13"/>
        <v>4134.84</v>
      </c>
      <c r="H290" s="42">
        <f t="shared" si="13"/>
        <v>54853.1</v>
      </c>
      <c r="I290" s="42">
        <f t="shared" si="13"/>
        <v>5985.8600000000006</v>
      </c>
      <c r="J290" s="42">
        <f t="shared" si="13"/>
        <v>910.99</v>
      </c>
      <c r="K290" s="42">
        <f t="shared" si="13"/>
        <v>0</v>
      </c>
      <c r="L290" s="41">
        <f t="shared" si="13"/>
        <v>99050.49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>
        <v>6375</v>
      </c>
      <c r="I336" s="18"/>
      <c r="J336" s="18"/>
      <c r="K336" s="18"/>
      <c r="L336" s="19">
        <f t="shared" si="18"/>
        <v>6375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6375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6375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33165.700000000004</v>
      </c>
      <c r="G338" s="41">
        <f t="shared" si="20"/>
        <v>4134.84</v>
      </c>
      <c r="H338" s="41">
        <f t="shared" si="20"/>
        <v>61228.1</v>
      </c>
      <c r="I338" s="41">
        <f t="shared" si="20"/>
        <v>5985.8600000000006</v>
      </c>
      <c r="J338" s="41">
        <f t="shared" si="20"/>
        <v>910.99</v>
      </c>
      <c r="K338" s="41">
        <f t="shared" si="20"/>
        <v>0</v>
      </c>
      <c r="L338" s="41">
        <f t="shared" si="20"/>
        <v>105425.49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33165.700000000004</v>
      </c>
      <c r="G352" s="41">
        <f>G338</f>
        <v>4134.84</v>
      </c>
      <c r="H352" s="41">
        <f>H338</f>
        <v>61228.1</v>
      </c>
      <c r="I352" s="41">
        <f>I338</f>
        <v>5985.8600000000006</v>
      </c>
      <c r="J352" s="41">
        <f>J338</f>
        <v>910.99</v>
      </c>
      <c r="K352" s="47">
        <f>K338+K351</f>
        <v>0</v>
      </c>
      <c r="L352" s="41">
        <f>L338+L351</f>
        <v>105425.49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36560.379999999997</v>
      </c>
      <c r="G358" s="18">
        <v>15493.59</v>
      </c>
      <c r="H358" s="18"/>
      <c r="I358" s="18">
        <v>55241.03</v>
      </c>
      <c r="J358" s="18"/>
      <c r="K358" s="18"/>
      <c r="L358" s="13">
        <f>SUM(F358:K358)</f>
        <v>107295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36560.379999999997</v>
      </c>
      <c r="G362" s="47">
        <f t="shared" si="22"/>
        <v>15493.59</v>
      </c>
      <c r="H362" s="47">
        <f t="shared" si="22"/>
        <v>0</v>
      </c>
      <c r="I362" s="47">
        <f t="shared" si="22"/>
        <v>55241.03</v>
      </c>
      <c r="J362" s="47">
        <f t="shared" si="22"/>
        <v>0</v>
      </c>
      <c r="K362" s="47">
        <f t="shared" si="22"/>
        <v>0</v>
      </c>
      <c r="L362" s="47">
        <f t="shared" si="22"/>
        <v>107295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50833.98</v>
      </c>
      <c r="G367" s="18"/>
      <c r="H367" s="18"/>
      <c r="I367" s="56">
        <f>SUM(F367:H367)</f>
        <v>50833.98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4407.05</v>
      </c>
      <c r="G368" s="63"/>
      <c r="H368" s="63"/>
      <c r="I368" s="56">
        <f>SUM(F368:H368)</f>
        <v>4407.05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55241.030000000006</v>
      </c>
      <c r="G369" s="47">
        <f>SUM(G367:G368)</f>
        <v>0</v>
      </c>
      <c r="H369" s="47">
        <f>SUM(H367:H368)</f>
        <v>0</v>
      </c>
      <c r="I369" s="47">
        <f>SUM(I367:I368)</f>
        <v>55241.030000000006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25090.37</v>
      </c>
      <c r="I378" s="18"/>
      <c r="J378" s="18"/>
      <c r="K378" s="18"/>
      <c r="L378" s="13">
        <f t="shared" si="23"/>
        <v>25090.37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20000</v>
      </c>
      <c r="L381" s="13">
        <f t="shared" si="23"/>
        <v>20000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25090.37</v>
      </c>
      <c r="I382" s="41">
        <f t="shared" si="24"/>
        <v>0</v>
      </c>
      <c r="J382" s="47">
        <f t="shared" si="24"/>
        <v>0</v>
      </c>
      <c r="K382" s="47">
        <f t="shared" si="24"/>
        <v>20000</v>
      </c>
      <c r="L382" s="47">
        <f t="shared" si="24"/>
        <v>45090.369999999995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349.02</v>
      </c>
      <c r="I396" s="18"/>
      <c r="J396" s="24" t="s">
        <v>288</v>
      </c>
      <c r="K396" s="24" t="s">
        <v>288</v>
      </c>
      <c r="L396" s="56">
        <f t="shared" si="26"/>
        <v>349.02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1087.8</v>
      </c>
      <c r="H397" s="18">
        <v>1364.82</v>
      </c>
      <c r="I397" s="18"/>
      <c r="J397" s="24" t="s">
        <v>288</v>
      </c>
      <c r="K397" s="24" t="s">
        <v>288</v>
      </c>
      <c r="L397" s="56">
        <f t="shared" si="26"/>
        <v>2452.62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2792.46</v>
      </c>
      <c r="I398" s="18"/>
      <c r="J398" s="24" t="s">
        <v>288</v>
      </c>
      <c r="K398" s="24" t="s">
        <v>288</v>
      </c>
      <c r="L398" s="56">
        <f t="shared" si="26"/>
        <v>2792.46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100120</v>
      </c>
      <c r="H400" s="18">
        <v>501.12</v>
      </c>
      <c r="I400" s="18"/>
      <c r="J400" s="24" t="s">
        <v>288</v>
      </c>
      <c r="K400" s="24" t="s">
        <v>288</v>
      </c>
      <c r="L400" s="56">
        <f t="shared" si="26"/>
        <v>100621.12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101207.8</v>
      </c>
      <c r="H401" s="47">
        <f>SUM(H395:H400)</f>
        <v>5007.42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106215.22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101207.8</v>
      </c>
      <c r="H408" s="47">
        <f>H393+H401+H407</f>
        <v>5007.42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106215.22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351.82</v>
      </c>
      <c r="I422" s="18"/>
      <c r="J422" s="18"/>
      <c r="K422" s="18"/>
      <c r="L422" s="56">
        <f t="shared" si="29"/>
        <v>351.82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>
        <v>1324.45</v>
      </c>
      <c r="I423" s="18"/>
      <c r="J423" s="18"/>
      <c r="K423" s="18"/>
      <c r="L423" s="56">
        <f t="shared" si="29"/>
        <v>1324.45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>
        <v>2711.32</v>
      </c>
      <c r="I424" s="18"/>
      <c r="J424" s="18"/>
      <c r="K424" s="18"/>
      <c r="L424" s="56">
        <f t="shared" si="29"/>
        <v>2711.32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348.1</v>
      </c>
      <c r="I426" s="18"/>
      <c r="J426" s="18"/>
      <c r="K426" s="18"/>
      <c r="L426" s="56">
        <f t="shared" si="29"/>
        <v>348.1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4735.6900000000005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4735.6900000000005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4735.6900000000005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4735.6900000000005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929444.9</v>
      </c>
      <c r="G442" s="18"/>
      <c r="H442" s="18"/>
      <c r="I442" s="56">
        <f t="shared" si="33"/>
        <v>929444.9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929444.9</v>
      </c>
      <c r="G446" s="13">
        <f>SUM(G439:G445)</f>
        <v>0</v>
      </c>
      <c r="H446" s="13">
        <f>SUM(H439:H445)</f>
        <v>0</v>
      </c>
      <c r="I446" s="13">
        <f>SUM(I439:I445)</f>
        <v>929444.9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929444.9</v>
      </c>
      <c r="G456" s="18"/>
      <c r="H456" s="18"/>
      <c r="I456" s="56">
        <f t="shared" si="34"/>
        <v>929444.9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929444.9</v>
      </c>
      <c r="G460" s="83">
        <f>SUM(G454:G459)</f>
        <v>0</v>
      </c>
      <c r="H460" s="83">
        <f>SUM(H454:H459)</f>
        <v>0</v>
      </c>
      <c r="I460" s="83">
        <f>SUM(I454:I459)</f>
        <v>929444.9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929444.9</v>
      </c>
      <c r="G461" s="42">
        <f>G452+G460</f>
        <v>0</v>
      </c>
      <c r="H461" s="42">
        <f>H452+H460</f>
        <v>0</v>
      </c>
      <c r="I461" s="42">
        <f>I452+I460</f>
        <v>929444.9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109461.39</v>
      </c>
      <c r="G465" s="18">
        <v>0</v>
      </c>
      <c r="H465" s="18">
        <v>0</v>
      </c>
      <c r="I465" s="18">
        <v>45090.37</v>
      </c>
      <c r="J465" s="18">
        <v>827965.37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6341668.75</v>
      </c>
      <c r="G468" s="18">
        <v>107295</v>
      </c>
      <c r="H468" s="18">
        <v>105425.49</v>
      </c>
      <c r="I468" s="18"/>
      <c r="J468" s="18">
        <v>106215.22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6341668.75</v>
      </c>
      <c r="G470" s="53">
        <f>SUM(G468:G469)</f>
        <v>107295</v>
      </c>
      <c r="H470" s="53">
        <f>SUM(H468:H469)</f>
        <v>105425.49</v>
      </c>
      <c r="I470" s="53">
        <f>SUM(I468:I469)</f>
        <v>0</v>
      </c>
      <c r="J470" s="53">
        <f>SUM(J468:J469)</f>
        <v>106215.22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6377237.7800000003</v>
      </c>
      <c r="G472" s="18">
        <v>107295</v>
      </c>
      <c r="H472" s="18">
        <v>105425.49</v>
      </c>
      <c r="I472" s="18">
        <v>45090.37</v>
      </c>
      <c r="J472" s="18">
        <v>4735.6899999999996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6377237.7800000003</v>
      </c>
      <c r="G474" s="53">
        <f>SUM(G472:G473)</f>
        <v>107295</v>
      </c>
      <c r="H474" s="53">
        <f>SUM(H472:H473)</f>
        <v>105425.49</v>
      </c>
      <c r="I474" s="53">
        <f>SUM(I472:I473)</f>
        <v>45090.37</v>
      </c>
      <c r="J474" s="53">
        <f>SUM(J472:J473)</f>
        <v>4735.6899999999996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73892.359999999404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929444.9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2637500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3.36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2560000</v>
      </c>
      <c r="G495" s="18"/>
      <c r="H495" s="18"/>
      <c r="I495" s="18"/>
      <c r="J495" s="18"/>
      <c r="K495" s="53">
        <f>SUM(F495:J495)</f>
        <v>2560000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85000</v>
      </c>
      <c r="G497" s="18"/>
      <c r="H497" s="18"/>
      <c r="I497" s="18"/>
      <c r="J497" s="18"/>
      <c r="K497" s="53">
        <f t="shared" si="35"/>
        <v>85000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2475000</v>
      </c>
      <c r="G498" s="204"/>
      <c r="H498" s="204"/>
      <c r="I498" s="204"/>
      <c r="J498" s="204"/>
      <c r="K498" s="205">
        <f t="shared" si="35"/>
        <v>2475000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1041422.5</v>
      </c>
      <c r="G499" s="18"/>
      <c r="H499" s="18"/>
      <c r="I499" s="18"/>
      <c r="J499" s="18"/>
      <c r="K499" s="53">
        <f t="shared" si="35"/>
        <v>1041422.5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3516422.5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3516422.5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90000</v>
      </c>
      <c r="G501" s="204"/>
      <c r="H501" s="204"/>
      <c r="I501" s="204"/>
      <c r="J501" s="204"/>
      <c r="K501" s="205">
        <f t="shared" si="35"/>
        <v>90000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105130</v>
      </c>
      <c r="G502" s="18"/>
      <c r="H502" s="18"/>
      <c r="I502" s="18"/>
      <c r="J502" s="18"/>
      <c r="K502" s="53">
        <f t="shared" si="35"/>
        <v>105130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195130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195130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448250.91</v>
      </c>
      <c r="G521" s="18">
        <v>157017.53</v>
      </c>
      <c r="H521" s="18">
        <v>32474.560000000001</v>
      </c>
      <c r="I521" s="18">
        <v>1202.22</v>
      </c>
      <c r="J521" s="18">
        <v>6720.39</v>
      </c>
      <c r="K521" s="18"/>
      <c r="L521" s="88">
        <f>SUM(F521:K521)</f>
        <v>645665.61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42824.08</v>
      </c>
      <c r="G523" s="18">
        <v>19807.02</v>
      </c>
      <c r="H523" s="18">
        <v>239675.31</v>
      </c>
      <c r="I523" s="18"/>
      <c r="J523" s="18"/>
      <c r="K523" s="18"/>
      <c r="L523" s="88">
        <f>SUM(F523:K523)</f>
        <v>302306.41000000003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491074.99</v>
      </c>
      <c r="G524" s="108">
        <f t="shared" ref="G524:L524" si="36">SUM(G521:G523)</f>
        <v>176824.55</v>
      </c>
      <c r="H524" s="108">
        <f t="shared" si="36"/>
        <v>272149.87</v>
      </c>
      <c r="I524" s="108">
        <f t="shared" si="36"/>
        <v>1202.22</v>
      </c>
      <c r="J524" s="108">
        <f t="shared" si="36"/>
        <v>6720.39</v>
      </c>
      <c r="K524" s="108">
        <f t="shared" si="36"/>
        <v>0</v>
      </c>
      <c r="L524" s="89">
        <f t="shared" si="36"/>
        <v>947972.02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157252.01999999999</v>
      </c>
      <c r="I526" s="18"/>
      <c r="J526" s="18"/>
      <c r="K526" s="18"/>
      <c r="L526" s="88">
        <f>SUM(F526:K526)</f>
        <v>157252.01999999999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157252.01999999999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157252.01999999999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42824.08</v>
      </c>
      <c r="G531" s="18">
        <v>19807.02</v>
      </c>
      <c r="H531" s="18"/>
      <c r="I531" s="18"/>
      <c r="J531" s="18"/>
      <c r="K531" s="18"/>
      <c r="L531" s="88">
        <f>SUM(F531:K531)</f>
        <v>62631.100000000006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42824.08</v>
      </c>
      <c r="G534" s="89">
        <f t="shared" ref="G534:L534" si="38">SUM(G531:G533)</f>
        <v>19807.02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62631.100000000006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472.5</v>
      </c>
      <c r="I536" s="18"/>
      <c r="J536" s="18"/>
      <c r="K536" s="18"/>
      <c r="L536" s="88">
        <f>SUM(F536:K536)</f>
        <v>472.5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2419.9</v>
      </c>
      <c r="I538" s="18"/>
      <c r="J538" s="18"/>
      <c r="K538" s="18"/>
      <c r="L538" s="88">
        <f>SUM(F538:K538)</f>
        <v>2419.9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2892.4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2892.4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533899.06999999995</v>
      </c>
      <c r="G545" s="89">
        <f t="shared" ref="G545:L545" si="41">G524+G529+G534+G539+G544</f>
        <v>196631.56999999998</v>
      </c>
      <c r="H545" s="89">
        <f t="shared" si="41"/>
        <v>432294.29000000004</v>
      </c>
      <c r="I545" s="89">
        <f t="shared" si="41"/>
        <v>1202.22</v>
      </c>
      <c r="J545" s="89">
        <f t="shared" si="41"/>
        <v>6720.39</v>
      </c>
      <c r="K545" s="89">
        <f t="shared" si="41"/>
        <v>0</v>
      </c>
      <c r="L545" s="89">
        <f t="shared" si="41"/>
        <v>1170747.54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645665.61</v>
      </c>
      <c r="G549" s="87">
        <f>L526</f>
        <v>157252.01999999999</v>
      </c>
      <c r="H549" s="87">
        <f>L531</f>
        <v>62631.100000000006</v>
      </c>
      <c r="I549" s="87">
        <f>L536</f>
        <v>472.5</v>
      </c>
      <c r="J549" s="87">
        <f>L541</f>
        <v>0</v>
      </c>
      <c r="K549" s="87">
        <f>SUM(F549:J549)</f>
        <v>866021.23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302306.41000000003</v>
      </c>
      <c r="G551" s="87">
        <f>L528</f>
        <v>0</v>
      </c>
      <c r="H551" s="87">
        <f>L533</f>
        <v>0</v>
      </c>
      <c r="I551" s="87">
        <f>L538</f>
        <v>2419.9</v>
      </c>
      <c r="J551" s="87">
        <f>L543</f>
        <v>0</v>
      </c>
      <c r="K551" s="87">
        <f>SUM(F551:J551)</f>
        <v>304726.31000000006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947972.02</v>
      </c>
      <c r="G552" s="89">
        <f t="shared" si="42"/>
        <v>157252.01999999999</v>
      </c>
      <c r="H552" s="89">
        <f t="shared" si="42"/>
        <v>62631.100000000006</v>
      </c>
      <c r="I552" s="89">
        <f t="shared" si="42"/>
        <v>2892.4</v>
      </c>
      <c r="J552" s="89">
        <f t="shared" si="42"/>
        <v>0</v>
      </c>
      <c r="K552" s="89">
        <f t="shared" si="42"/>
        <v>1170747.54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1011937.5</v>
      </c>
      <c r="I575" s="87">
        <f>SUM(F575:H575)</f>
        <v>1011937.5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617853.75</v>
      </c>
      <c r="I576" s="87">
        <f t="shared" ref="I576:I587" si="47">SUM(F576:H576)</f>
        <v>617853.75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103755.54</v>
      </c>
      <c r="I579" s="87">
        <f t="shared" si="47"/>
        <v>103755.54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66545.73</v>
      </c>
      <c r="I580" s="87">
        <f t="shared" si="47"/>
        <v>66545.73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16634.939999999999</v>
      </c>
      <c r="I585" s="87">
        <f t="shared" si="47"/>
        <v>16634.939999999999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113210.74</v>
      </c>
      <c r="I591" s="18"/>
      <c r="J591" s="18"/>
      <c r="K591" s="104">
        <f t="shared" ref="K591:K597" si="48">SUM(H591:J591)</f>
        <v>113210.74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113210.74</v>
      </c>
      <c r="I598" s="108">
        <f>SUM(I591:I597)</f>
        <v>0</v>
      </c>
      <c r="J598" s="108">
        <f>SUM(J591:J597)</f>
        <v>0</v>
      </c>
      <c r="K598" s="108">
        <f>SUM(K591:K597)</f>
        <v>113210.74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55636.04</v>
      </c>
      <c r="I604" s="18"/>
      <c r="J604" s="18"/>
      <c r="K604" s="104">
        <f>SUM(H604:J604)</f>
        <v>55636.04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55636.04</v>
      </c>
      <c r="I605" s="108">
        <f>SUM(I602:I604)</f>
        <v>0</v>
      </c>
      <c r="J605" s="108">
        <f>SUM(J602:J604)</f>
        <v>0</v>
      </c>
      <c r="K605" s="108">
        <f>SUM(K602:K604)</f>
        <v>55636.04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86737.12</v>
      </c>
      <c r="H617" s="109">
        <f>SUM(F52)</f>
        <v>86737.12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904.28</v>
      </c>
      <c r="H618" s="109">
        <f>SUM(G52)</f>
        <v>904.28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10479.040000000001</v>
      </c>
      <c r="H619" s="109">
        <f>SUM(H52)</f>
        <v>10479.039999999999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929444.9</v>
      </c>
      <c r="H621" s="109">
        <f>SUM(J52)</f>
        <v>929444.9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73892.36</v>
      </c>
      <c r="H622" s="109">
        <f>F476</f>
        <v>73892.359999999404</v>
      </c>
      <c r="I622" s="121" t="s">
        <v>101</v>
      </c>
      <c r="J622" s="109">
        <f t="shared" ref="J622:J655" si="50">G622-H622</f>
        <v>5.9662852436304092E-10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929444.9</v>
      </c>
      <c r="H626" s="109">
        <f>J476</f>
        <v>929444.9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6341668.7499999991</v>
      </c>
      <c r="H627" s="104">
        <f>SUM(F468)</f>
        <v>6341668.75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107295</v>
      </c>
      <c r="H628" s="104">
        <f>SUM(G468)</f>
        <v>107295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105425.48999999999</v>
      </c>
      <c r="H629" s="104">
        <f>SUM(H468)</f>
        <v>105425.49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106215.22</v>
      </c>
      <c r="H631" s="104">
        <f>SUM(J468)</f>
        <v>106215.22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6377237.7800000012</v>
      </c>
      <c r="H632" s="104">
        <f>SUM(F472)</f>
        <v>6377237.7800000003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105425.49</v>
      </c>
      <c r="H633" s="104">
        <f>SUM(H472)</f>
        <v>105425.49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55241.03</v>
      </c>
      <c r="H634" s="104">
        <f>I369</f>
        <v>55241.030000000006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107295</v>
      </c>
      <c r="H635" s="104">
        <f>SUM(G472)</f>
        <v>107295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45090.369999999995</v>
      </c>
      <c r="H636" s="104">
        <f>SUM(I472)</f>
        <v>45090.37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106215.22</v>
      </c>
      <c r="H637" s="164">
        <f>SUM(J468)</f>
        <v>106215.22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4735.6900000000005</v>
      </c>
      <c r="H638" s="164">
        <f>SUM(J472)</f>
        <v>4735.6899999999996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929444.9</v>
      </c>
      <c r="H639" s="104">
        <f>SUM(F461)</f>
        <v>929444.9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929444.9</v>
      </c>
      <c r="H642" s="104">
        <f>SUM(I461)</f>
        <v>929444.9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5007.42</v>
      </c>
      <c r="H644" s="104">
        <f>H408</f>
        <v>5007.42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101207.8</v>
      </c>
      <c r="H645" s="104">
        <f>G408</f>
        <v>101207.8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106215.22</v>
      </c>
      <c r="H646" s="104">
        <f>L408</f>
        <v>106215.22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113210.74</v>
      </c>
      <c r="H647" s="104">
        <f>L208+L226+L244</f>
        <v>113210.74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55636.04</v>
      </c>
      <c r="H648" s="104">
        <f>(J257+J338)-(J255+J336)</f>
        <v>55636.039999999994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113210.74</v>
      </c>
      <c r="H649" s="104">
        <f>H598</f>
        <v>113210.74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26484.6</v>
      </c>
      <c r="H652" s="104">
        <f>K263+K345</f>
        <v>26484.6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101207.8</v>
      </c>
      <c r="H655" s="104">
        <f>K266+K347</f>
        <v>101207.8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4312565.7700000005</v>
      </c>
      <c r="G660" s="19">
        <f>(L229+L309+L359)</f>
        <v>0</v>
      </c>
      <c r="H660" s="19">
        <f>(L247+L328+L360)</f>
        <v>1948732.6</v>
      </c>
      <c r="I660" s="19">
        <f>SUM(F660:H660)</f>
        <v>6261298.370000001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64675.68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64675.68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113210.74</v>
      </c>
      <c r="G662" s="19">
        <f>(L226+L306)-(J226+J306)</f>
        <v>0</v>
      </c>
      <c r="H662" s="19">
        <f>(L244+L325)-(J244+J325)</f>
        <v>0</v>
      </c>
      <c r="I662" s="19">
        <f>SUM(F662:H662)</f>
        <v>113210.74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55636.04</v>
      </c>
      <c r="G663" s="199">
        <f>SUM(G575:G587)+SUM(I602:I604)+L612</f>
        <v>0</v>
      </c>
      <c r="H663" s="199">
        <f>SUM(H575:H587)+SUM(J602:J604)+L613</f>
        <v>1816727.46</v>
      </c>
      <c r="I663" s="19">
        <f>SUM(F663:H663)</f>
        <v>1872363.5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4079043.3100000005</v>
      </c>
      <c r="G664" s="19">
        <f>G660-SUM(G661:G663)</f>
        <v>0</v>
      </c>
      <c r="H664" s="19">
        <f>H660-SUM(H661:H663)</f>
        <v>132005.14000000013</v>
      </c>
      <c r="I664" s="19">
        <f>I660-SUM(I661:I663)</f>
        <v>4211048.4500000011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197.67</v>
      </c>
      <c r="G665" s="248"/>
      <c r="H665" s="248"/>
      <c r="I665" s="19">
        <f>SUM(F665:H665)</f>
        <v>197.67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20635.62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21303.43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-132005.14000000001</v>
      </c>
      <c r="I669" s="19">
        <f>SUM(F669:H669)</f>
        <v>-132005.14000000001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20635.62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20635.62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fitToHeight="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Lyme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1472084.47</v>
      </c>
      <c r="C9" s="229">
        <f>'DOE25'!G197+'DOE25'!G215+'DOE25'!G233+'DOE25'!G276+'DOE25'!G295+'DOE25'!G314</f>
        <v>648042.67999999993</v>
      </c>
    </row>
    <row r="10" spans="1:3" x14ac:dyDescent="0.2">
      <c r="A10" t="s">
        <v>778</v>
      </c>
      <c r="B10" s="240">
        <v>1406095.67</v>
      </c>
      <c r="C10" s="240">
        <v>647158.79</v>
      </c>
    </row>
    <row r="11" spans="1:3" x14ac:dyDescent="0.2">
      <c r="A11" t="s">
        <v>779</v>
      </c>
      <c r="B11" s="240">
        <v>65988.800000000003</v>
      </c>
      <c r="C11" s="240">
        <v>883.89</v>
      </c>
    </row>
    <row r="12" spans="1:3" x14ac:dyDescent="0.2">
      <c r="A12" t="s">
        <v>780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1472084.47</v>
      </c>
      <c r="C13" s="231">
        <f>SUM(C10:C12)</f>
        <v>648042.68000000005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491074.99</v>
      </c>
      <c r="C18" s="229">
        <f>'DOE25'!G198+'DOE25'!G216+'DOE25'!G234+'DOE25'!G277+'DOE25'!G296+'DOE25'!G315</f>
        <v>176824.55</v>
      </c>
    </row>
    <row r="19" spans="1:3" x14ac:dyDescent="0.2">
      <c r="A19" t="s">
        <v>778</v>
      </c>
      <c r="B19" s="240">
        <v>261593.08</v>
      </c>
      <c r="C19" s="240">
        <v>68784.479999999996</v>
      </c>
    </row>
    <row r="20" spans="1:3" x14ac:dyDescent="0.2">
      <c r="A20" t="s">
        <v>779</v>
      </c>
      <c r="B20" s="240">
        <v>186657.83</v>
      </c>
      <c r="C20" s="240">
        <v>88233.05</v>
      </c>
    </row>
    <row r="21" spans="1:3" x14ac:dyDescent="0.2">
      <c r="A21" t="s">
        <v>780</v>
      </c>
      <c r="B21" s="240">
        <v>42824.08</v>
      </c>
      <c r="C21" s="240">
        <v>19807.02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491074.99</v>
      </c>
      <c r="C22" s="231">
        <f>SUM(C19:C21)</f>
        <v>176824.55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Lyme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4813344.5299999993</v>
      </c>
      <c r="D5" s="20">
        <f>SUM('DOE25'!L197:L200)+SUM('DOE25'!L215:L218)+SUM('DOE25'!L233:L236)-F5-G5</f>
        <v>4768404.0299999993</v>
      </c>
      <c r="E5" s="243"/>
      <c r="F5" s="255">
        <f>SUM('DOE25'!J197:J200)+SUM('DOE25'!J215:J218)+SUM('DOE25'!J233:J236)</f>
        <v>44940.5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240738.16999999998</v>
      </c>
      <c r="D6" s="20">
        <f>'DOE25'!L202+'DOE25'!L220+'DOE25'!L238-F6-G6</f>
        <v>240171.16999999998</v>
      </c>
      <c r="E6" s="243"/>
      <c r="F6" s="255">
        <f>'DOE25'!J202+'DOE25'!J220+'DOE25'!J238</f>
        <v>567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70249.680000000008</v>
      </c>
      <c r="D7" s="20">
        <f>'DOE25'!L203+'DOE25'!L221+'DOE25'!L239-F7-G7</f>
        <v>70249.680000000008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166946.71</v>
      </c>
      <c r="D8" s="243"/>
      <c r="E8" s="20">
        <f>'DOE25'!L204+'DOE25'!L222+'DOE25'!L240-F8-G8-D9-D11</f>
        <v>156695.43999999997</v>
      </c>
      <c r="F8" s="255">
        <f>'DOE25'!J204+'DOE25'!J222+'DOE25'!J240</f>
        <v>6292.13</v>
      </c>
      <c r="G8" s="53">
        <f>'DOE25'!K204+'DOE25'!K222+'DOE25'!K240</f>
        <v>3959.14</v>
      </c>
      <c r="H8" s="259"/>
    </row>
    <row r="9" spans="1:9" x14ac:dyDescent="0.2">
      <c r="A9" s="32">
        <v>2310</v>
      </c>
      <c r="B9" t="s">
        <v>817</v>
      </c>
      <c r="C9" s="245">
        <f t="shared" si="0"/>
        <v>55010.73</v>
      </c>
      <c r="D9" s="244">
        <v>55010.73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7950</v>
      </c>
      <c r="D10" s="243"/>
      <c r="E10" s="244">
        <v>7950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88608.44</v>
      </c>
      <c r="D11" s="244">
        <v>88608.44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224095.43</v>
      </c>
      <c r="D12" s="20">
        <f>'DOE25'!L205+'DOE25'!L223+'DOE25'!L241-F12-G12</f>
        <v>223925.44</v>
      </c>
      <c r="E12" s="243"/>
      <c r="F12" s="255">
        <f>'DOE25'!J205+'DOE25'!J223+'DOE25'!J241</f>
        <v>94.99</v>
      </c>
      <c r="G12" s="53">
        <f>'DOE25'!K205+'DOE25'!K223+'DOE25'!K241</f>
        <v>75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282748.45</v>
      </c>
      <c r="D14" s="20">
        <f>'DOE25'!L207+'DOE25'!L225+'DOE25'!L243-F14-G14</f>
        <v>279918.02</v>
      </c>
      <c r="E14" s="243"/>
      <c r="F14" s="255">
        <f>'DOE25'!J207+'DOE25'!J225+'DOE25'!J243</f>
        <v>2830.43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113210.74</v>
      </c>
      <c r="D15" s="20">
        <f>'DOE25'!L208+'DOE25'!L226+'DOE25'!L244-F15-G15</f>
        <v>113210.74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6375</v>
      </c>
      <c r="D22" s="243"/>
      <c r="E22" s="243"/>
      <c r="F22" s="255">
        <f>'DOE25'!L255+'DOE25'!L336</f>
        <v>6375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194592.5</v>
      </c>
      <c r="D25" s="243"/>
      <c r="E25" s="243"/>
      <c r="F25" s="258"/>
      <c r="G25" s="256"/>
      <c r="H25" s="257">
        <f>'DOE25'!L260+'DOE25'!L261+'DOE25'!L341+'DOE25'!L342</f>
        <v>194592.5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56461.02</v>
      </c>
      <c r="D29" s="20">
        <f>'DOE25'!L358+'DOE25'!L359+'DOE25'!L360-'DOE25'!I367-F29-G29</f>
        <v>56461.02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99050.49</v>
      </c>
      <c r="D31" s="20">
        <f>'DOE25'!L290+'DOE25'!L309+'DOE25'!L328+'DOE25'!L333+'DOE25'!L334+'DOE25'!L335-F31-G31</f>
        <v>98139.5</v>
      </c>
      <c r="E31" s="243"/>
      <c r="F31" s="255">
        <f>'DOE25'!J290+'DOE25'!J309+'DOE25'!J328+'DOE25'!J333+'DOE25'!J334+'DOE25'!J335</f>
        <v>910.99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5994098.7699999996</v>
      </c>
      <c r="E33" s="246">
        <f>SUM(E5:E31)</f>
        <v>164645.43999999997</v>
      </c>
      <c r="F33" s="246">
        <f>SUM(F5:F31)</f>
        <v>62011.039999999994</v>
      </c>
      <c r="G33" s="246">
        <f>SUM(G5:G31)</f>
        <v>4034.14</v>
      </c>
      <c r="H33" s="246">
        <f>SUM(H5:H31)</f>
        <v>194592.5</v>
      </c>
    </row>
    <row r="35" spans="2:8" ht="12" thickBot="1" x14ac:dyDescent="0.25">
      <c r="B35" s="253" t="s">
        <v>846</v>
      </c>
      <c r="D35" s="254">
        <f>E33</f>
        <v>164645.43999999997</v>
      </c>
      <c r="E35" s="249"/>
    </row>
    <row r="36" spans="2:8" ht="12" thickTop="1" x14ac:dyDescent="0.2">
      <c r="B36" t="s">
        <v>814</v>
      </c>
      <c r="D36" s="20">
        <f>D33</f>
        <v>5994098.7699999996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E47" sqref="E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83622.78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929444.9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904.28</v>
      </c>
      <c r="E13" s="95">
        <f>'DOE25'!H14</f>
        <v>10479.040000000001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614.34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2500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86737.12</v>
      </c>
      <c r="D18" s="41">
        <f>SUM(D8:D17)</f>
        <v>904.28</v>
      </c>
      <c r="E18" s="41">
        <f>SUM(E8:E17)</f>
        <v>10479.040000000001</v>
      </c>
      <c r="F18" s="41">
        <f>SUM(F8:F17)</f>
        <v>0</v>
      </c>
      <c r="G18" s="41">
        <f>SUM(G8:G17)</f>
        <v>929444.9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-8005.85</v>
      </c>
      <c r="D21" s="95">
        <f>'DOE25'!G22</f>
        <v>-169.47</v>
      </c>
      <c r="E21" s="95">
        <f>'DOE25'!H22</f>
        <v>8175.32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20850.61</v>
      </c>
      <c r="D23" s="95">
        <f>'DOE25'!G24</f>
        <v>1073.75</v>
      </c>
      <c r="E23" s="95">
        <f>'DOE25'!H24</f>
        <v>2303.7199999999998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12844.76</v>
      </c>
      <c r="D31" s="41">
        <f>SUM(D21:D30)</f>
        <v>904.28</v>
      </c>
      <c r="E31" s="41">
        <f>SUM(E21:E30)</f>
        <v>10479.039999999999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929444.9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52222.91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21669.45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73892.36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929444.9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86737.12</v>
      </c>
      <c r="D51" s="41">
        <f>D50+D31</f>
        <v>904.28</v>
      </c>
      <c r="E51" s="41">
        <f>E50+E31</f>
        <v>10479.039999999999</v>
      </c>
      <c r="F51" s="41">
        <f>F50+F31</f>
        <v>0</v>
      </c>
      <c r="G51" s="41">
        <f>G50+G31</f>
        <v>929444.9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5043829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10707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301.93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5007.42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64675.68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38988.07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49997</v>
      </c>
      <c r="D62" s="130">
        <f>SUM(D57:D61)</f>
        <v>64675.68</v>
      </c>
      <c r="E62" s="130">
        <f>SUM(E57:E61)</f>
        <v>0</v>
      </c>
      <c r="F62" s="130">
        <f>SUM(F57:F61)</f>
        <v>0</v>
      </c>
      <c r="G62" s="130">
        <f>SUM(G57:G61)</f>
        <v>5007.42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5093826</v>
      </c>
      <c r="D63" s="22">
        <f>D56+D62</f>
        <v>64675.68</v>
      </c>
      <c r="E63" s="22">
        <f>E56+E62</f>
        <v>0</v>
      </c>
      <c r="F63" s="22">
        <f>F56+F62</f>
        <v>0</v>
      </c>
      <c r="G63" s="22">
        <f>G56+G62</f>
        <v>5007.42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382809.19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796391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1179200.19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38166.75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6552.17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967.96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44718.92</v>
      </c>
      <c r="D78" s="130">
        <f>SUM(D72:D77)</f>
        <v>967.96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1223919.1099999999</v>
      </c>
      <c r="D81" s="130">
        <f>SUM(D79:D80)+D78+D70</f>
        <v>967.96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3495.02</v>
      </c>
      <c r="D88" s="95">
        <f>SUM('DOE25'!G153:G161)</f>
        <v>15166.76</v>
      </c>
      <c r="E88" s="95">
        <f>SUM('DOE25'!H153:H161)</f>
        <v>105425.48999999999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428.62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3923.64</v>
      </c>
      <c r="D91" s="131">
        <f>SUM(D85:D90)</f>
        <v>15166.76</v>
      </c>
      <c r="E91" s="131">
        <f>SUM(E85:E90)</f>
        <v>105425.48999999999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26484.6</v>
      </c>
      <c r="E96" s="95">
        <f>'DOE25'!H179</f>
        <v>0</v>
      </c>
      <c r="F96" s="95">
        <f>'DOE25'!I179</f>
        <v>0</v>
      </c>
      <c r="G96" s="95">
        <f>'DOE25'!J179</f>
        <v>101207.8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20000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20000</v>
      </c>
      <c r="D103" s="86">
        <f>SUM(D93:D102)</f>
        <v>26484.6</v>
      </c>
      <c r="E103" s="86">
        <f>SUM(E93:E102)</f>
        <v>0</v>
      </c>
      <c r="F103" s="86">
        <f>SUM(F93:F102)</f>
        <v>0</v>
      </c>
      <c r="G103" s="86">
        <f>SUM(G93:G102)</f>
        <v>101207.8</v>
      </c>
    </row>
    <row r="104" spans="1:7" ht="12.75" thickTop="1" thickBot="1" x14ac:dyDescent="0.25">
      <c r="A104" s="33" t="s">
        <v>764</v>
      </c>
      <c r="C104" s="86">
        <f>C63+C81+C91+C103</f>
        <v>6341668.7499999991</v>
      </c>
      <c r="D104" s="86">
        <f>D63+D81+D91+D103</f>
        <v>107295</v>
      </c>
      <c r="E104" s="86">
        <f>E63+E81+E91+E103</f>
        <v>105425.48999999999</v>
      </c>
      <c r="F104" s="86">
        <f>F63+F81+F91+F103</f>
        <v>0</v>
      </c>
      <c r="G104" s="86">
        <f>G63+G81+G103</f>
        <v>106215.22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3878890.4299999997</v>
      </c>
      <c r="D109" s="24" t="s">
        <v>288</v>
      </c>
      <c r="E109" s="95">
        <f>('DOE25'!L276)+('DOE25'!L295)+('DOE25'!L314)</f>
        <v>21916.36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934454.10000000009</v>
      </c>
      <c r="D110" s="24" t="s">
        <v>288</v>
      </c>
      <c r="E110" s="95">
        <f>('DOE25'!L277)+('DOE25'!L296)+('DOE25'!L315)</f>
        <v>13517.92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4813344.5299999993</v>
      </c>
      <c r="D115" s="86">
        <f>SUM(D109:D114)</f>
        <v>0</v>
      </c>
      <c r="E115" s="86">
        <f>SUM(E109:E114)</f>
        <v>35434.28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240738.16999999998</v>
      </c>
      <c r="D118" s="24" t="s">
        <v>288</v>
      </c>
      <c r="E118" s="95">
        <f>+('DOE25'!L281)+('DOE25'!L300)+('DOE25'!L319)</f>
        <v>55600.25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70249.680000000008</v>
      </c>
      <c r="D119" s="24" t="s">
        <v>288</v>
      </c>
      <c r="E119" s="95">
        <f>+('DOE25'!L282)+('DOE25'!L301)+('DOE25'!L320)</f>
        <v>8015.96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310565.88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224095.43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282748.45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113210.74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107295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1241608.3499999999</v>
      </c>
      <c r="D128" s="86">
        <f>SUM(D118:D127)</f>
        <v>107295</v>
      </c>
      <c r="E128" s="86">
        <f>SUM(E118:E127)</f>
        <v>63616.21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6375</v>
      </c>
      <c r="F130" s="129">
        <f>SUM('DOE25'!L374:'DOE25'!L380)</f>
        <v>25090.37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109592.5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20000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26484.6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106215.22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-5007.4199999999983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322284.90000000002</v>
      </c>
      <c r="D144" s="141">
        <f>SUM(D130:D143)</f>
        <v>0</v>
      </c>
      <c r="E144" s="141">
        <f>SUM(E130:E143)</f>
        <v>6375</v>
      </c>
      <c r="F144" s="141">
        <f>SUM(F130:F143)</f>
        <v>45090.369999999995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6377237.7799999993</v>
      </c>
      <c r="D145" s="86">
        <f>(D115+D128+D144)</f>
        <v>107295</v>
      </c>
      <c r="E145" s="86">
        <f>(E115+E128+E144)</f>
        <v>105425.48999999999</v>
      </c>
      <c r="F145" s="86">
        <f>(F115+F128+F144)</f>
        <v>45090.369999999995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8/2014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2637500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3.36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2560000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2560000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2475000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2475000</v>
      </c>
    </row>
    <row r="160" spans="1:9" x14ac:dyDescent="0.2">
      <c r="A160" s="22" t="s">
        <v>36</v>
      </c>
      <c r="B160" s="137">
        <f>'DOE25'!F499</f>
        <v>1041422.5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1041422.5</v>
      </c>
    </row>
    <row r="161" spans="1:7" x14ac:dyDescent="0.2">
      <c r="A161" s="22" t="s">
        <v>37</v>
      </c>
      <c r="B161" s="137">
        <f>'DOE25'!F500</f>
        <v>3516422.5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3516422.5</v>
      </c>
    </row>
    <row r="162" spans="1:7" x14ac:dyDescent="0.2">
      <c r="A162" s="22" t="s">
        <v>38</v>
      </c>
      <c r="B162" s="137">
        <f>'DOE25'!F501</f>
        <v>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90000</v>
      </c>
    </row>
    <row r="163" spans="1:7" x14ac:dyDescent="0.2">
      <c r="A163" s="22" t="s">
        <v>39</v>
      </c>
      <c r="B163" s="137">
        <f>'DOE25'!F502</f>
        <v>105130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105130</v>
      </c>
    </row>
    <row r="164" spans="1:7" x14ac:dyDescent="0.2">
      <c r="A164" s="22" t="s">
        <v>246</v>
      </c>
      <c r="B164" s="137">
        <f>'DOE25'!F503</f>
        <v>195130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195130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2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Lyme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20636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20636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3900807</v>
      </c>
      <c r="D10" s="182">
        <f>ROUND((C10/$C$28)*100,1)</f>
        <v>61.9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947972</v>
      </c>
      <c r="D11" s="182">
        <f>ROUND((C11/$C$28)*100,1)</f>
        <v>15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296338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78266</v>
      </c>
      <c r="D16" s="182">
        <f t="shared" si="0"/>
        <v>1.2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310566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224095</v>
      </c>
      <c r="D18" s="182">
        <f t="shared" si="0"/>
        <v>3.6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282748</v>
      </c>
      <c r="D20" s="182">
        <f t="shared" si="0"/>
        <v>4.5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113211</v>
      </c>
      <c r="D21" s="182">
        <f t="shared" si="0"/>
        <v>1.8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109593</v>
      </c>
      <c r="D25" s="182">
        <f t="shared" si="0"/>
        <v>1.7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42619.32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6306215.3200000003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31465</v>
      </c>
    </row>
    <row r="30" spans="1:4" x14ac:dyDescent="0.2">
      <c r="B30" s="187" t="s">
        <v>728</v>
      </c>
      <c r="C30" s="180">
        <f>SUM(C28:C29)</f>
        <v>6337680.3200000003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5043829</v>
      </c>
      <c r="D35" s="182">
        <f t="shared" ref="D35:D40" si="1">ROUND((C35/$C$41)*100,1)</f>
        <v>78.2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55004.419999999925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1179200</v>
      </c>
      <c r="D37" s="182">
        <f t="shared" si="1"/>
        <v>18.3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45687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124516</v>
      </c>
      <c r="D39" s="182">
        <f t="shared" si="1"/>
        <v>1.9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6448236.4199999999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Lyme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2017-09-28T15:26:29Z</cp:lastPrinted>
  <dcterms:created xsi:type="dcterms:W3CDTF">1997-12-04T19:04:30Z</dcterms:created>
  <dcterms:modified xsi:type="dcterms:W3CDTF">2017-11-29T17:37:41Z</dcterms:modified>
</cp:coreProperties>
</file>