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00" i="1" l="1"/>
  <c r="J179" i="1"/>
  <c r="K266" i="1"/>
  <c r="F48" i="1"/>
  <c r="G395" i="1" l="1"/>
  <c r="F110" i="1"/>
  <c r="F29" i="1"/>
  <c r="B28" i="12" l="1"/>
  <c r="B19" i="12"/>
  <c r="B10" i="12"/>
  <c r="J604" i="1" l="1"/>
  <c r="I604" i="1"/>
  <c r="H604" i="1"/>
  <c r="H336" i="1" l="1"/>
  <c r="H613" i="1" l="1"/>
  <c r="H612" i="1"/>
  <c r="F612" i="1"/>
  <c r="H611" i="1"/>
  <c r="H102" i="1" l="1"/>
  <c r="H526" i="1" l="1"/>
  <c r="H527" i="1"/>
  <c r="G528" i="1"/>
  <c r="H528" i="1"/>
  <c r="F528" i="1"/>
  <c r="K523" i="1"/>
  <c r="I523" i="1"/>
  <c r="H523" i="1"/>
  <c r="G523" i="1"/>
  <c r="F523" i="1"/>
  <c r="J523" i="1"/>
  <c r="G527" i="1"/>
  <c r="F527" i="1"/>
  <c r="K522" i="1"/>
  <c r="I522" i="1"/>
  <c r="H522" i="1"/>
  <c r="G522" i="1"/>
  <c r="F522" i="1"/>
  <c r="J522" i="1"/>
  <c r="H531" i="1"/>
  <c r="G531" i="1"/>
  <c r="G526" i="1"/>
  <c r="F526" i="1"/>
  <c r="K521" i="1"/>
  <c r="I521" i="1"/>
  <c r="H521" i="1"/>
  <c r="G521" i="1"/>
  <c r="F521" i="1"/>
  <c r="J521" i="1"/>
  <c r="I528" i="1"/>
  <c r="I527" i="1"/>
  <c r="I526" i="1" l="1"/>
  <c r="F541" i="1"/>
  <c r="G559" i="1"/>
  <c r="F559" i="1"/>
  <c r="J558" i="1"/>
  <c r="I558" i="1"/>
  <c r="H558" i="1"/>
  <c r="G558" i="1"/>
  <c r="F558" i="1"/>
  <c r="J557" i="1"/>
  <c r="I557" i="1"/>
  <c r="H557" i="1"/>
  <c r="G557" i="1"/>
  <c r="F557" i="1"/>
  <c r="J559" i="1"/>
  <c r="I559" i="1"/>
  <c r="H559" i="1"/>
  <c r="J564" i="1"/>
  <c r="I564" i="1"/>
  <c r="H564" i="1"/>
  <c r="G564" i="1"/>
  <c r="F564" i="1"/>
  <c r="J563" i="1"/>
  <c r="I563" i="1"/>
  <c r="H563" i="1"/>
  <c r="G563" i="1"/>
  <c r="F563" i="1"/>
  <c r="J562" i="1"/>
  <c r="I562" i="1"/>
  <c r="H562" i="1"/>
  <c r="G562" i="1"/>
  <c r="F562" i="1"/>
  <c r="F197" i="1" l="1"/>
  <c r="H233" i="1"/>
  <c r="J243" i="1"/>
  <c r="J225" i="1"/>
  <c r="J207" i="1"/>
  <c r="K218" i="1"/>
  <c r="J218" i="1"/>
  <c r="I218" i="1"/>
  <c r="H218" i="1"/>
  <c r="G218" i="1"/>
  <c r="F218" i="1"/>
  <c r="I239" i="1"/>
  <c r="H239" i="1"/>
  <c r="G239" i="1"/>
  <c r="F239" i="1"/>
  <c r="H238" i="1"/>
  <c r="J236" i="1"/>
  <c r="I236" i="1"/>
  <c r="H236" i="1"/>
  <c r="G236" i="1"/>
  <c r="F236" i="1"/>
  <c r="F233" i="1"/>
  <c r="I221" i="1"/>
  <c r="H221" i="1"/>
  <c r="G221" i="1"/>
  <c r="F221" i="1"/>
  <c r="F220" i="1"/>
  <c r="F215" i="1"/>
  <c r="F198" i="1"/>
  <c r="G238" i="1"/>
  <c r="F238" i="1"/>
  <c r="H220" i="1"/>
  <c r="G220" i="1"/>
  <c r="F368" i="1"/>
  <c r="F367" i="1"/>
  <c r="H367" i="1"/>
  <c r="G367" i="1"/>
  <c r="I360" i="1"/>
  <c r="I359" i="1"/>
  <c r="I358" i="1"/>
  <c r="H360" i="1"/>
  <c r="G360" i="1"/>
  <c r="F360" i="1"/>
  <c r="H359" i="1"/>
  <c r="G359" i="1"/>
  <c r="F359" i="1"/>
  <c r="H358" i="1"/>
  <c r="G358" i="1"/>
  <c r="F358" i="1"/>
  <c r="G97" i="1"/>
  <c r="G158" i="1"/>
  <c r="G30" i="1"/>
  <c r="G9" i="1"/>
  <c r="F9" i="1" l="1"/>
  <c r="F14" i="1"/>
  <c r="F68" i="1"/>
  <c r="J245" i="1" l="1"/>
  <c r="I245" i="1"/>
  <c r="H245" i="1"/>
  <c r="J227" i="1"/>
  <c r="I227" i="1"/>
  <c r="H227" i="1"/>
  <c r="J209" i="1"/>
  <c r="I209" i="1"/>
  <c r="H209" i="1"/>
  <c r="I243" i="1"/>
  <c r="H243" i="1"/>
  <c r="I225" i="1"/>
  <c r="H225" i="1"/>
  <c r="I207" i="1"/>
  <c r="H207" i="1"/>
  <c r="I241" i="1"/>
  <c r="K241" i="1"/>
  <c r="H241" i="1"/>
  <c r="G241" i="1"/>
  <c r="K223" i="1"/>
  <c r="I223" i="1"/>
  <c r="H223" i="1"/>
  <c r="I205" i="1"/>
  <c r="H205" i="1"/>
  <c r="H240" i="1"/>
  <c r="H204" i="1"/>
  <c r="I203" i="1"/>
  <c r="H203" i="1"/>
  <c r="G203" i="1"/>
  <c r="F203" i="1"/>
  <c r="I202" i="1"/>
  <c r="H202" i="1"/>
  <c r="G202" i="1"/>
  <c r="F202" i="1"/>
  <c r="K236" i="1"/>
  <c r="J234" i="1"/>
  <c r="I234" i="1"/>
  <c r="H234" i="1"/>
  <c r="G234" i="1"/>
  <c r="F234" i="1"/>
  <c r="K216" i="1"/>
  <c r="J216" i="1"/>
  <c r="I216" i="1"/>
  <c r="H216" i="1"/>
  <c r="G216" i="1"/>
  <c r="F216" i="1"/>
  <c r="J198" i="1"/>
  <c r="I198" i="1"/>
  <c r="H198" i="1"/>
  <c r="G198" i="1"/>
  <c r="K233" i="1"/>
  <c r="J233" i="1"/>
  <c r="I233" i="1"/>
  <c r="G233" i="1"/>
  <c r="K215" i="1"/>
  <c r="J215" i="1"/>
  <c r="I215" i="1"/>
  <c r="H215" i="1"/>
  <c r="G215" i="1"/>
  <c r="J197" i="1"/>
  <c r="I197" i="1"/>
  <c r="H197" i="1"/>
  <c r="G197" i="1"/>
  <c r="K245" i="1"/>
  <c r="G245" i="1"/>
  <c r="F245" i="1"/>
  <c r="I242" i="1"/>
  <c r="H242" i="1"/>
  <c r="G242" i="1"/>
  <c r="F242" i="1"/>
  <c r="K240" i="1"/>
  <c r="I240" i="1"/>
  <c r="G240" i="1"/>
  <c r="F240" i="1"/>
  <c r="K234" i="1"/>
  <c r="K227" i="1"/>
  <c r="G227" i="1"/>
  <c r="F227" i="1"/>
  <c r="K225" i="1"/>
  <c r="I224" i="1"/>
  <c r="H224" i="1"/>
  <c r="G224" i="1"/>
  <c r="F224" i="1"/>
  <c r="K222" i="1"/>
  <c r="I222" i="1"/>
  <c r="H222" i="1"/>
  <c r="G222" i="1"/>
  <c r="F222" i="1"/>
  <c r="K209" i="1"/>
  <c r="G209" i="1"/>
  <c r="F209" i="1"/>
  <c r="K207" i="1"/>
  <c r="I206" i="1"/>
  <c r="H206" i="1"/>
  <c r="G206" i="1"/>
  <c r="F206" i="1"/>
  <c r="K204" i="1"/>
  <c r="I204" i="1"/>
  <c r="G204" i="1"/>
  <c r="F204" i="1"/>
  <c r="I200" i="1"/>
  <c r="K198" i="1"/>
  <c r="H244" i="1"/>
  <c r="H226" i="1"/>
  <c r="H208" i="1"/>
  <c r="G208" i="1"/>
  <c r="F208" i="1"/>
  <c r="H592" i="1"/>
  <c r="H591" i="1"/>
  <c r="J595" i="1"/>
  <c r="J592" i="1"/>
  <c r="J591" i="1"/>
  <c r="I592" i="1"/>
  <c r="I59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G650" i="1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E111" i="2" s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E131" i="2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L349" i="1"/>
  <c r="L350" i="1"/>
  <c r="I665" i="1"/>
  <c r="I670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3" i="2"/>
  <c r="C114" i="2"/>
  <c r="D115" i="2"/>
  <c r="F115" i="2"/>
  <c r="G115" i="2"/>
  <c r="E121" i="2"/>
  <c r="E123" i="2"/>
  <c r="E124" i="2"/>
  <c r="E125" i="2"/>
  <c r="F128" i="2"/>
  <c r="G128" i="2"/>
  <c r="C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1" i="1"/>
  <c r="J641" i="1" s="1"/>
  <c r="H641" i="1"/>
  <c r="G643" i="1"/>
  <c r="J643" i="1" s="1"/>
  <c r="H643" i="1"/>
  <c r="G644" i="1"/>
  <c r="H645" i="1"/>
  <c r="G651" i="1"/>
  <c r="G652" i="1"/>
  <c r="H652" i="1"/>
  <c r="G653" i="1"/>
  <c r="H653" i="1"/>
  <c r="G654" i="1"/>
  <c r="H654" i="1"/>
  <c r="H655" i="1"/>
  <c r="F192" i="1"/>
  <c r="D18" i="2"/>
  <c r="C91" i="2"/>
  <c r="F78" i="2"/>
  <c r="D50" i="2"/>
  <c r="G161" i="2"/>
  <c r="G62" i="2"/>
  <c r="D19" i="13"/>
  <c r="C19" i="13" s="1"/>
  <c r="E78" i="2"/>
  <c r="L419" i="1"/>
  <c r="I169" i="1"/>
  <c r="G476" i="1"/>
  <c r="H623" i="1" s="1"/>
  <c r="J623" i="1" s="1"/>
  <c r="J140" i="1"/>
  <c r="G22" i="2"/>
  <c r="H140" i="1"/>
  <c r="F22" i="13"/>
  <c r="C22" i="13" s="1"/>
  <c r="H338" i="1"/>
  <c r="H352" i="1" s="1"/>
  <c r="H192" i="1"/>
  <c r="L570" i="1"/>
  <c r="G36" i="2"/>
  <c r="E62" i="2" l="1"/>
  <c r="E63" i="2" s="1"/>
  <c r="J644" i="1"/>
  <c r="J476" i="1"/>
  <c r="H626" i="1" s="1"/>
  <c r="L401" i="1"/>
  <c r="C139" i="2" s="1"/>
  <c r="L270" i="1"/>
  <c r="J655" i="1"/>
  <c r="G645" i="1"/>
  <c r="J645" i="1" s="1"/>
  <c r="J640" i="1"/>
  <c r="A31" i="12"/>
  <c r="E119" i="2"/>
  <c r="K338" i="1"/>
  <c r="K352" i="1" s="1"/>
  <c r="L328" i="1"/>
  <c r="E120" i="2"/>
  <c r="E118" i="2"/>
  <c r="L309" i="1"/>
  <c r="E112" i="2"/>
  <c r="C11" i="10"/>
  <c r="G338" i="1"/>
  <c r="G352" i="1" s="1"/>
  <c r="F338" i="1"/>
  <c r="F352" i="1" s="1"/>
  <c r="L290" i="1"/>
  <c r="C13" i="10"/>
  <c r="H112" i="1"/>
  <c r="H193" i="1" s="1"/>
  <c r="G629" i="1" s="1"/>
  <c r="J629" i="1" s="1"/>
  <c r="H52" i="1"/>
  <c r="H619" i="1" s="1"/>
  <c r="J619" i="1" s="1"/>
  <c r="K550" i="1"/>
  <c r="F552" i="1"/>
  <c r="L524" i="1"/>
  <c r="G552" i="1"/>
  <c r="K545" i="1"/>
  <c r="I545" i="1"/>
  <c r="H545" i="1"/>
  <c r="L534" i="1"/>
  <c r="H552" i="1"/>
  <c r="L544" i="1"/>
  <c r="K551" i="1"/>
  <c r="G545" i="1"/>
  <c r="K549" i="1"/>
  <c r="H571" i="1"/>
  <c r="J571" i="1"/>
  <c r="I571" i="1"/>
  <c r="L560" i="1"/>
  <c r="L571" i="1" s="1"/>
  <c r="F571" i="1"/>
  <c r="C26" i="10"/>
  <c r="J634" i="1"/>
  <c r="H661" i="1"/>
  <c r="L362" i="1"/>
  <c r="D29" i="13"/>
  <c r="C29" i="13" s="1"/>
  <c r="G661" i="1"/>
  <c r="D31" i="2"/>
  <c r="F476" i="1"/>
  <c r="H622" i="1" s="1"/>
  <c r="J622" i="1" s="1"/>
  <c r="J617" i="1"/>
  <c r="C18" i="2"/>
  <c r="C70" i="2"/>
  <c r="F112" i="1"/>
  <c r="C123" i="2"/>
  <c r="L256" i="1"/>
  <c r="C12" i="10"/>
  <c r="E142" i="2"/>
  <c r="E144" i="2" s="1"/>
  <c r="C112" i="2"/>
  <c r="A40" i="12"/>
  <c r="D14" i="13"/>
  <c r="C14" i="13" s="1"/>
  <c r="C121" i="2"/>
  <c r="C118" i="2"/>
  <c r="C109" i="2"/>
  <c r="C125" i="2"/>
  <c r="D12" i="13"/>
  <c r="C12" i="13" s="1"/>
  <c r="C16" i="10"/>
  <c r="L211" i="1"/>
  <c r="K257" i="1"/>
  <c r="K271" i="1" s="1"/>
  <c r="D5" i="13"/>
  <c r="C5" i="13" s="1"/>
  <c r="I257" i="1"/>
  <c r="I271" i="1" s="1"/>
  <c r="F257" i="1"/>
  <c r="F271" i="1" s="1"/>
  <c r="A13" i="12"/>
  <c r="E16" i="13"/>
  <c r="C16" i="13" s="1"/>
  <c r="C17" i="10"/>
  <c r="C119" i="2"/>
  <c r="C20" i="10"/>
  <c r="C122" i="2"/>
  <c r="H257" i="1"/>
  <c r="H271" i="1" s="1"/>
  <c r="D7" i="13"/>
  <c r="C7" i="13" s="1"/>
  <c r="L229" i="1"/>
  <c r="J257" i="1"/>
  <c r="J271" i="1" s="1"/>
  <c r="L247" i="1"/>
  <c r="G257" i="1"/>
  <c r="G271" i="1" s="1"/>
  <c r="G662" i="1"/>
  <c r="J651" i="1"/>
  <c r="K598" i="1"/>
  <c r="G647" i="1" s="1"/>
  <c r="C81" i="2"/>
  <c r="E109" i="2"/>
  <c r="E115" i="2" s="1"/>
  <c r="C62" i="2"/>
  <c r="F661" i="1"/>
  <c r="C19" i="10"/>
  <c r="C15" i="10"/>
  <c r="C10" i="10"/>
  <c r="G112" i="1"/>
  <c r="E13" i="13"/>
  <c r="C13" i="13" s="1"/>
  <c r="E8" i="13"/>
  <c r="C8" i="13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C18" i="10"/>
  <c r="I52" i="1"/>
  <c r="H620" i="1" s="1"/>
  <c r="L539" i="1"/>
  <c r="K503" i="1"/>
  <c r="L382" i="1"/>
  <c r="G636" i="1" s="1"/>
  <c r="J636" i="1" s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E104" i="2" l="1"/>
  <c r="C141" i="2"/>
  <c r="C144" i="2" s="1"/>
  <c r="G104" i="2"/>
  <c r="H660" i="1"/>
  <c r="H664" i="1" s="1"/>
  <c r="H667" i="1" s="1"/>
  <c r="E128" i="2"/>
  <c r="L338" i="1"/>
  <c r="L352" i="1" s="1"/>
  <c r="G633" i="1" s="1"/>
  <c r="J633" i="1" s="1"/>
  <c r="F660" i="1"/>
  <c r="F664" i="1" s="1"/>
  <c r="D31" i="13"/>
  <c r="C31" i="13" s="1"/>
  <c r="F33" i="13"/>
  <c r="E145" i="2"/>
  <c r="L545" i="1"/>
  <c r="K552" i="1"/>
  <c r="I661" i="1"/>
  <c r="F193" i="1"/>
  <c r="G627" i="1" s="1"/>
  <c r="J627" i="1" s="1"/>
  <c r="C36" i="10"/>
  <c r="C63" i="2"/>
  <c r="C104" i="2" s="1"/>
  <c r="C115" i="2"/>
  <c r="L257" i="1"/>
  <c r="L271" i="1" s="1"/>
  <c r="G632" i="1" s="1"/>
  <c r="J632" i="1" s="1"/>
  <c r="G660" i="1"/>
  <c r="G664" i="1" s="1"/>
  <c r="G672" i="1" s="1"/>
  <c r="C5" i="10" s="1"/>
  <c r="H648" i="1"/>
  <c r="J648" i="1" s="1"/>
  <c r="C28" i="10"/>
  <c r="D22" i="10" s="1"/>
  <c r="J647" i="1"/>
  <c r="C128" i="2"/>
  <c r="C25" i="13"/>
  <c r="H33" i="13"/>
  <c r="L408" i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C145" i="2"/>
  <c r="I660" i="1"/>
  <c r="I664" i="1" s="1"/>
  <c r="I672" i="1" s="1"/>
  <c r="C7" i="10" s="1"/>
  <c r="D18" i="10"/>
  <c r="D17" i="10"/>
  <c r="D12" i="10"/>
  <c r="D27" i="10"/>
  <c r="D24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G667" i="1"/>
  <c r="F672" i="1"/>
  <c r="C4" i="10" s="1"/>
  <c r="F667" i="1"/>
  <c r="G637" i="1"/>
  <c r="J637" i="1" s="1"/>
  <c r="H646" i="1"/>
  <c r="J646" i="1" s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<sst xmlns="http://schemas.openxmlformats.org/spreadsheetml/2006/main" count="3955" uniqueCount="913">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</sst>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335</v>
      </c>
      <c r="C2" s="21">
        <v>335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200+4182179.8+3602858.12+267.75-0.2</f>
        <v>7785505.4699999997</v>
      </c>
      <c r="G9" s="18">
        <f>157497.41+50</f>
        <v>157547.41</v>
      </c>
      <c r="H9" s="18">
        <v>1400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1298135.24</v>
      </c>
      <c r="G12" s="18">
        <v>90170.94</v>
      </c>
      <c r="H12" s="18"/>
      <c r="I12" s="18"/>
      <c r="J12" s="67">
        <f>SUM(I441)</f>
        <v>332936.3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34140310.780000001</v>
      </c>
      <c r="G13" s="18">
        <v>196273.4</v>
      </c>
      <c r="H13" s="18">
        <v>17853.37</v>
      </c>
      <c r="I13" s="18"/>
      <c r="J13" s="67">
        <f>SUM(I442)</f>
        <v>883943.66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f>11320.79+574467.61</f>
        <v>585788.4</v>
      </c>
      <c r="G14" s="18">
        <v>6175.22</v>
      </c>
      <c r="H14" s="18">
        <v>3426588.34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24515.19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20316.68</v>
      </c>
      <c r="G17" s="18"/>
      <c r="H17" s="18">
        <v>572.75</v>
      </c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43830056.57</v>
      </c>
      <c r="G19" s="41">
        <f>SUM(G9:G18)</f>
        <v>474682.16</v>
      </c>
      <c r="H19" s="41">
        <f>SUM(H9:H18)</f>
        <v>3446414.46</v>
      </c>
      <c r="I19" s="41">
        <f>SUM(I9:I18)</f>
        <v>0</v>
      </c>
      <c r="J19" s="41">
        <f>SUM(J9:J18)</f>
        <v>1216879.96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1721242.48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1137766.95</v>
      </c>
      <c r="G24" s="18">
        <v>38408.79</v>
      </c>
      <c r="H24" s="18">
        <v>254405.42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3340965.74</v>
      </c>
      <c r="G28" s="18">
        <v>44050.41</v>
      </c>
      <c r="H28" s="18">
        <v>432456.04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-1588.59+1587147.33+128137.51+28555.21+1400466.68+3059.12</f>
        <v>3145777.26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35456385.700000003</v>
      </c>
      <c r="G30" s="18">
        <f>27535.69+10404.39+12821.88+2830.9</f>
        <v>53592.86</v>
      </c>
      <c r="H30" s="18">
        <v>6662.05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43080895.650000006</v>
      </c>
      <c r="G32" s="41">
        <f>SUM(G22:G31)</f>
        <v>136052.06</v>
      </c>
      <c r="H32" s="41">
        <f>SUM(H22:H31)</f>
        <v>2414765.9899999998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24515.19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20316.68</v>
      </c>
      <c r="G36" s="18"/>
      <c r="H36" s="18">
        <v>572.75</v>
      </c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314114.90999999997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f>382412.76+105000-46176</f>
        <v>441236.76</v>
      </c>
      <c r="G48" s="18"/>
      <c r="H48" s="18">
        <v>1031075.72</v>
      </c>
      <c r="I48" s="18"/>
      <c r="J48" s="13">
        <f>SUM(I459)</f>
        <v>1216879.96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287607.48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0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749160.91999999993</v>
      </c>
      <c r="G51" s="41">
        <f>SUM(G35:G50)</f>
        <v>338630.1</v>
      </c>
      <c r="H51" s="41">
        <f>SUM(H35:H50)</f>
        <v>1031648.47</v>
      </c>
      <c r="I51" s="41">
        <f>SUM(I35:I50)</f>
        <v>0</v>
      </c>
      <c r="J51" s="41">
        <f>SUM(J35:J50)</f>
        <v>1216879.96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43830056.570000008</v>
      </c>
      <c r="G52" s="41">
        <f>G51+G32</f>
        <v>474682.16</v>
      </c>
      <c r="H52" s="41">
        <f>H51+H32</f>
        <v>3446414.46</v>
      </c>
      <c r="I52" s="41">
        <f>I51+I32</f>
        <v>0</v>
      </c>
      <c r="J52" s="41">
        <f>J51+J32</f>
        <v>1216879.96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76728342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>
        <v>59615.39</v>
      </c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76728342</v>
      </c>
      <c r="G60" s="41">
        <f>SUM(G57:G59)</f>
        <v>0</v>
      </c>
      <c r="H60" s="41">
        <f>SUM(H57:H59)</f>
        <v>59615.39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26927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>
        <v>21573.05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>
        <v>24070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f>2638280.56+937963</f>
        <v>3576243.56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913944.32</v>
      </c>
      <c r="G69" s="24" t="s">
        <v>288</v>
      </c>
      <c r="H69" s="18">
        <v>2941582.18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250039.54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4767154.42</v>
      </c>
      <c r="G79" s="45" t="s">
        <v>288</v>
      </c>
      <c r="H79" s="41">
        <f>SUM(H63:H78)</f>
        <v>2987225.23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209423.33</v>
      </c>
      <c r="G96" s="18"/>
      <c r="H96" s="18"/>
      <c r="I96" s="18"/>
      <c r="J96" s="18">
        <v>-30484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599054.64+42082.67+110.2+306347.77+203.36+20135.72</f>
        <v>967934.36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41634</v>
      </c>
      <c r="G98" s="24" t="s">
        <v>288</v>
      </c>
      <c r="H98" s="18">
        <v>66023.710000000006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8932.3700000000008</v>
      </c>
      <c r="G101" s="18"/>
      <c r="H101" s="18">
        <v>1500</v>
      </c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f>223133.47+115995.59+58966</f>
        <v>398095.06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1746.87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9802.66+138385.8</f>
        <v>148188.46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409925.02999999997</v>
      </c>
      <c r="G111" s="41">
        <f>SUM(G96:G110)</f>
        <v>967934.36</v>
      </c>
      <c r="H111" s="41">
        <f>SUM(H96:H110)</f>
        <v>465618.77</v>
      </c>
      <c r="I111" s="41">
        <f>SUM(I96:I110)</f>
        <v>0</v>
      </c>
      <c r="J111" s="41">
        <f>SUM(J96:J110)</f>
        <v>-30484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81905421.450000003</v>
      </c>
      <c r="G112" s="41">
        <f>G60+G111</f>
        <v>967934.36</v>
      </c>
      <c r="H112" s="41">
        <f>H60+H79+H94+H111</f>
        <v>3512459.39</v>
      </c>
      <c r="I112" s="41">
        <f>I60+I111</f>
        <v>0</v>
      </c>
      <c r="J112" s="41">
        <f>J60+J111</f>
        <v>-30484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56954983.329999998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19949783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110430.17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77015196.5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2788824.22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627125.07999999996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624643.11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81394.149999999994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4040592.41</v>
      </c>
      <c r="G136" s="41">
        <f>SUM(G123:G135)</f>
        <v>81394.149999999994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81055788.909999996</v>
      </c>
      <c r="G140" s="41">
        <f>G121+SUM(G136:G137)</f>
        <v>81394.149999999994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>
        <v>389288.3</v>
      </c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389288.3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7601239.4800000004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2803765.38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576042.85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492185.26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3847764.07+107207.08</f>
        <v>3954971.15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4051818.95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1489652.5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87948.01</v>
      </c>
      <c r="G161" s="18"/>
      <c r="H161" s="18">
        <v>336798.92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1577600.51</v>
      </c>
      <c r="G162" s="41">
        <f>SUM(G150:G161)</f>
        <v>3954971.15</v>
      </c>
      <c r="H162" s="41">
        <f>SUM(H150:H161)</f>
        <v>15861850.839999998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1577600.51</v>
      </c>
      <c r="G169" s="41">
        <f>G147+G162+SUM(G163:G168)</f>
        <v>4344259.45</v>
      </c>
      <c r="H169" s="41">
        <f>H147+H162+SUM(H163:H168)</f>
        <v>15861850.839999998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f>138385.8+148374.5+46176</f>
        <v>332936.3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234409.53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234409.53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332936.3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234409.53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332936.3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164773220.40000001</v>
      </c>
      <c r="G193" s="47">
        <f>G112+G140+G169+G192</f>
        <v>5393587.96</v>
      </c>
      <c r="H193" s="47">
        <f>H112+H140+H169+H192</f>
        <v>19374310.229999997</v>
      </c>
      <c r="I193" s="47">
        <f>I112+I140+I169+I192</f>
        <v>0</v>
      </c>
      <c r="J193" s="47">
        <f>J112+J140+J192</f>
        <v>302452.3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68849.63+19900920.92+1793.86</f>
        <v>19971564.41</v>
      </c>
      <c r="G197" s="18">
        <f>-522382.29+9113316.36</f>
        <v>8590934.0700000003</v>
      </c>
      <c r="H197" s="18">
        <f>55756.7+11691.99+1811+38491.95+27082.5+2000+10584.21+2064.28+886.71</f>
        <v>150369.34</v>
      </c>
      <c r="I197" s="18">
        <f>250.78+133391.15+66970.87</f>
        <v>200612.8</v>
      </c>
      <c r="J197" s="18">
        <f>7194.93</f>
        <v>7194.93</v>
      </c>
      <c r="K197" s="18"/>
      <c r="L197" s="19">
        <f>SUM(F197:K197)</f>
        <v>28920675.550000001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160624.21+8990149.8</f>
        <v>9150774.0100000016</v>
      </c>
      <c r="G198" s="18">
        <f>-84168.28+5539662.66</f>
        <v>5455494.3799999999</v>
      </c>
      <c r="H198" s="18">
        <f>214227.96+288545.35+149.76+1100.75+1049999.09+2872.91</f>
        <v>1556895.82</v>
      </c>
      <c r="I198" s="18">
        <f>8092+41308.87+562.39</f>
        <v>49963.26</v>
      </c>
      <c r="J198" s="18">
        <f>2102.76+628</f>
        <v>2730.76</v>
      </c>
      <c r="K198" s="18">
        <f>298.78</f>
        <v>298.77999999999997</v>
      </c>
      <c r="L198" s="19">
        <f>SUM(F198:K198)</f>
        <v>16216157.01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28521.22</v>
      </c>
      <c r="G200" s="18">
        <v>4491.3100000000004</v>
      </c>
      <c r="H200" s="18"/>
      <c r="I200" s="18">
        <f>341.28</f>
        <v>341.28</v>
      </c>
      <c r="J200" s="18"/>
      <c r="K200" s="18">
        <v>100000</v>
      </c>
      <c r="L200" s="19">
        <f>SUM(F200:K200)</f>
        <v>133353.81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104310.41+2579519.36</f>
        <v>2683829.77</v>
      </c>
      <c r="G202" s="18">
        <f>46755.53+1168393.85+199.99</f>
        <v>1215349.3700000001</v>
      </c>
      <c r="H202" s="18">
        <f>898498.52+763575.97+1628.85</f>
        <v>1663703.34</v>
      </c>
      <c r="I202" s="18">
        <f>5110.68</f>
        <v>5110.68</v>
      </c>
      <c r="J202" s="18"/>
      <c r="K202" s="18"/>
      <c r="L202" s="19">
        <f t="shared" ref="L202:L208" si="0">SUM(F202:K202)</f>
        <v>5567993.1600000001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18038.39+821912.33</f>
        <v>839950.72</v>
      </c>
      <c r="G203" s="18">
        <f>13845.32+400861.36+63268.99+32757.16</f>
        <v>510732.82999999996</v>
      </c>
      <c r="H203" s="18">
        <f>116.21+383.42</f>
        <v>499.63</v>
      </c>
      <c r="I203" s="18">
        <f>1350+136.66+286.7+164.97</f>
        <v>1938.3300000000002</v>
      </c>
      <c r="J203" s="18"/>
      <c r="K203" s="18"/>
      <c r="L203" s="19">
        <f t="shared" si="0"/>
        <v>1353121.5099999998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397101.83</f>
        <v>397101.83</v>
      </c>
      <c r="G204" s="18">
        <f>171302.76</f>
        <v>171302.76</v>
      </c>
      <c r="H204" s="18">
        <f>81817.17+18856.66</f>
        <v>100673.83</v>
      </c>
      <c r="I204" s="18">
        <f>1064.93</f>
        <v>1064.93</v>
      </c>
      <c r="J204" s="18"/>
      <c r="K204" s="18">
        <f>927.83</f>
        <v>927.83</v>
      </c>
      <c r="L204" s="19">
        <f t="shared" si="0"/>
        <v>671071.18000000005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3155503.92</v>
      </c>
      <c r="G205" s="18">
        <v>1417288.54</v>
      </c>
      <c r="H205" s="18">
        <f>8920.94+44026.53</f>
        <v>52947.47</v>
      </c>
      <c r="I205" s="18">
        <f>140.21+317.66</f>
        <v>457.87</v>
      </c>
      <c r="J205" s="18"/>
      <c r="K205" s="18">
        <v>9519</v>
      </c>
      <c r="L205" s="19">
        <f t="shared" si="0"/>
        <v>4635716.8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255066.29</f>
        <v>255066.29</v>
      </c>
      <c r="G206" s="18">
        <f>137754.69</f>
        <v>137754.69</v>
      </c>
      <c r="H206" s="18">
        <f>82409.11</f>
        <v>82409.11</v>
      </c>
      <c r="I206" s="18">
        <f>9218.99</f>
        <v>9218.99</v>
      </c>
      <c r="J206" s="18"/>
      <c r="K206" s="18"/>
      <c r="L206" s="19">
        <f t="shared" si="0"/>
        <v>484449.07999999996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>
        <f>1373721.18+48154.28+41684.42+89016.35+44077.74</f>
        <v>1596653.97</v>
      </c>
      <c r="I207" s="18">
        <f>10522.75+250374.58+435321.15</f>
        <v>696218.48</v>
      </c>
      <c r="J207" s="18">
        <f>20883-448.67</f>
        <v>20434.330000000002</v>
      </c>
      <c r="K207" s="18">
        <f>81</f>
        <v>81</v>
      </c>
      <c r="L207" s="19">
        <f t="shared" si="0"/>
        <v>2313387.7800000003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10263.49+12822.8</f>
        <v>23086.29</v>
      </c>
      <c r="G208" s="18">
        <f>3975.22+4966.48</f>
        <v>8941.6999999999989</v>
      </c>
      <c r="H208" s="18">
        <f>2641350.46-0.02</f>
        <v>2641350.44</v>
      </c>
      <c r="I208" s="18"/>
      <c r="J208" s="18"/>
      <c r="K208" s="18"/>
      <c r="L208" s="19">
        <f t="shared" si="0"/>
        <v>2673378.4300000002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f>283326.65</f>
        <v>283326.65000000002</v>
      </c>
      <c r="G209" s="18">
        <f>121683.51</f>
        <v>121683.51</v>
      </c>
      <c r="H209" s="18">
        <f>181441.09+24.82+9141.57</f>
        <v>190607.48</v>
      </c>
      <c r="I209" s="18">
        <f>-28867.11+3604.5+41098.27</f>
        <v>15835.659999999996</v>
      </c>
      <c r="J209" s="18">
        <f>3215.21+7706.55</f>
        <v>10921.76</v>
      </c>
      <c r="K209" s="18">
        <f>27</f>
        <v>27</v>
      </c>
      <c r="L209" s="19">
        <f>SUM(F209:K209)</f>
        <v>622402.06000000006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36788725.109999992</v>
      </c>
      <c r="G211" s="41">
        <f t="shared" si="1"/>
        <v>17633973.16</v>
      </c>
      <c r="H211" s="41">
        <f t="shared" si="1"/>
        <v>8036110.4299999997</v>
      </c>
      <c r="I211" s="41">
        <f t="shared" si="1"/>
        <v>980762.27999999991</v>
      </c>
      <c r="J211" s="41">
        <f t="shared" si="1"/>
        <v>41281.780000000006</v>
      </c>
      <c r="K211" s="41">
        <f t="shared" si="1"/>
        <v>110853.61</v>
      </c>
      <c r="L211" s="41">
        <f t="shared" si="1"/>
        <v>63591706.369999997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40162.29+10700911.5</f>
        <v>10741073.789999999</v>
      </c>
      <c r="G215" s="18">
        <f>-357419.46+5140624.72</f>
        <v>4783205.26</v>
      </c>
      <c r="H215" s="18">
        <f>32524.74+1100+369+33930.47+21942.42+1092.57+6470.02+5915.89+24.58</f>
        <v>103369.69000000002</v>
      </c>
      <c r="I215" s="18">
        <f>146.29+65076.88+7371.66</f>
        <v>72594.83</v>
      </c>
      <c r="J215" s="18">
        <f>19568.75</f>
        <v>19568.75</v>
      </c>
      <c r="K215" s="18">
        <f>275</f>
        <v>275</v>
      </c>
      <c r="L215" s="19">
        <f>SUM(F215:K215)</f>
        <v>15720087.319999998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93697.46+4127296.91</f>
        <v>4220994.37</v>
      </c>
      <c r="G216" s="18">
        <f>-49098.16+2284418.68</f>
        <v>2235320.52</v>
      </c>
      <c r="H216" s="18">
        <f>124966.31+139816.5+360000+2340470.07+862.74</f>
        <v>2966115.62</v>
      </c>
      <c r="I216" s="18">
        <f>4720.33+5389.7</f>
        <v>10110.029999999999</v>
      </c>
      <c r="J216" s="18">
        <f>1226.61+655</f>
        <v>1881.61</v>
      </c>
      <c r="K216" s="18">
        <f>174.29+22.9</f>
        <v>197.19</v>
      </c>
      <c r="L216" s="19">
        <f>SUM(F216:K216)</f>
        <v>9434619.3399999999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347915.1</v>
      </c>
      <c r="G217" s="18">
        <v>170017.13</v>
      </c>
      <c r="H217" s="18"/>
      <c r="I217" s="18">
        <v>4600</v>
      </c>
      <c r="J217" s="18"/>
      <c r="K217" s="18"/>
      <c r="L217" s="19">
        <f>SUM(F217:K217)</f>
        <v>522532.23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182612.35+1328.54</f>
        <v>183940.89</v>
      </c>
      <c r="G218" s="18">
        <f>40597.49+326.92</f>
        <v>40924.409999999996</v>
      </c>
      <c r="H218" s="18">
        <f>19168+1564.59</f>
        <v>20732.59</v>
      </c>
      <c r="I218" s="18">
        <f>199.08+7555.48+42.01</f>
        <v>7796.57</v>
      </c>
      <c r="J218" s="18">
        <f>2650.57+71.5</f>
        <v>2722.07</v>
      </c>
      <c r="K218" s="18">
        <f>2405+13579.16</f>
        <v>15984.16</v>
      </c>
      <c r="L218" s="19">
        <f>SUM(F218:K218)</f>
        <v>272100.69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60847.74+1122981.85</f>
        <v>1183829.5900000001</v>
      </c>
      <c r="G220" s="18">
        <f>27274.06+462734.2</f>
        <v>490008.26</v>
      </c>
      <c r="H220" s="18">
        <f>524124.14+287423.35+380.3</f>
        <v>811927.79</v>
      </c>
      <c r="I220" s="18">
        <v>2482.46</v>
      </c>
      <c r="J220" s="18"/>
      <c r="K220" s="18"/>
      <c r="L220" s="19">
        <f t="shared" ref="L220:L226" si="2">SUM(F220:K220)</f>
        <v>2488248.1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10522.4+279776.26</f>
        <v>290298.66000000003</v>
      </c>
      <c r="G221" s="18">
        <f>8076.44+103990.19+29064.86+15811.95</f>
        <v>156943.44</v>
      </c>
      <c r="H221" s="18">
        <f>67.79</f>
        <v>67.790000000000006</v>
      </c>
      <c r="I221" s="18">
        <f>787.5+174.68+428.67+71.65</f>
        <v>1462.5000000000002</v>
      </c>
      <c r="J221" s="18"/>
      <c r="K221" s="18"/>
      <c r="L221" s="19">
        <f t="shared" si="2"/>
        <v>448772.39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231642.73</f>
        <v>231642.73</v>
      </c>
      <c r="G222" s="18">
        <f>99926.61</f>
        <v>99926.61</v>
      </c>
      <c r="H222" s="18">
        <f>47726.68</f>
        <v>47726.68</v>
      </c>
      <c r="I222" s="18">
        <f>621.21</f>
        <v>621.21</v>
      </c>
      <c r="J222" s="18"/>
      <c r="K222" s="18">
        <f>541.24</f>
        <v>541.24</v>
      </c>
      <c r="L222" s="19">
        <f t="shared" si="2"/>
        <v>380458.47000000003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1464695.56</v>
      </c>
      <c r="G223" s="18">
        <v>667855.6</v>
      </c>
      <c r="H223" s="18">
        <f>5203.88+151.4+21864.66</f>
        <v>27219.94</v>
      </c>
      <c r="I223" s="18">
        <f>81.79+9657.71</f>
        <v>9739.5</v>
      </c>
      <c r="J223" s="18"/>
      <c r="K223" s="18">
        <f>4305.6+228.81</f>
        <v>4534.4100000000008</v>
      </c>
      <c r="L223" s="19">
        <f t="shared" si="2"/>
        <v>2174045.0100000002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f>148788.67</f>
        <v>148788.67000000001</v>
      </c>
      <c r="G224" s="18">
        <f>80356.91</f>
        <v>80356.91</v>
      </c>
      <c r="H224" s="18">
        <f>48071.98</f>
        <v>48071.98</v>
      </c>
      <c r="I224" s="18">
        <f>5377.75</f>
        <v>5377.75</v>
      </c>
      <c r="J224" s="18"/>
      <c r="K224" s="18"/>
      <c r="L224" s="19">
        <f t="shared" si="2"/>
        <v>282595.31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>
        <f>1371166.84+14513.5+12017.78+68504.6+13840.05</f>
        <v>1480042.7700000003</v>
      </c>
      <c r="I225" s="18">
        <f>6138.27+481.9+122238.34+269219.97</f>
        <v>398078.48</v>
      </c>
      <c r="J225" s="18">
        <f>1218-261.72</f>
        <v>956.28</v>
      </c>
      <c r="K225" s="18">
        <f>47.25</f>
        <v>47.25</v>
      </c>
      <c r="L225" s="19">
        <f t="shared" si="2"/>
        <v>1879124.7800000003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16933.25</v>
      </c>
      <c r="G226" s="18">
        <v>6558.52</v>
      </c>
      <c r="H226" s="18">
        <f>1956876.8+0.01</f>
        <v>1956876.81</v>
      </c>
      <c r="I226" s="18"/>
      <c r="J226" s="18"/>
      <c r="K226" s="18"/>
      <c r="L226" s="19">
        <f t="shared" si="2"/>
        <v>1980368.58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f>165273.88</f>
        <v>165273.88</v>
      </c>
      <c r="G227" s="18">
        <f>70982.05</f>
        <v>70982.05</v>
      </c>
      <c r="H227" s="18">
        <f>105840.63+3353</f>
        <v>109193.63</v>
      </c>
      <c r="I227" s="18">
        <f>-16839.15+3574.6+54400.02</f>
        <v>41135.469999999994</v>
      </c>
      <c r="J227" s="18">
        <f>1875.54+18671.14</f>
        <v>20546.68</v>
      </c>
      <c r="K227" s="18">
        <f>15.75</f>
        <v>15.75</v>
      </c>
      <c r="L227" s="19">
        <f>SUM(F227:K227)</f>
        <v>407147.45999999996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18995386.489999998</v>
      </c>
      <c r="G229" s="41">
        <f>SUM(G215:G228)</f>
        <v>8802098.7100000009</v>
      </c>
      <c r="H229" s="41">
        <f>SUM(H215:H228)</f>
        <v>7571345.29</v>
      </c>
      <c r="I229" s="41">
        <f>SUM(I215:I228)</f>
        <v>553998.79999999993</v>
      </c>
      <c r="J229" s="41">
        <f>SUM(J215:J228)</f>
        <v>45675.39</v>
      </c>
      <c r="K229" s="41">
        <f t="shared" si="3"/>
        <v>21595</v>
      </c>
      <c r="L229" s="41">
        <f t="shared" si="3"/>
        <v>35990099.68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82237.06+14789722.08</f>
        <v>14871959.140000001</v>
      </c>
      <c r="G233" s="18">
        <f>-494888.48+7031135.28</f>
        <v>6536246.8000000007</v>
      </c>
      <c r="H233" s="18">
        <f>66598.28+1545+452.5+5347.45+10981.2+5595.44+4981.28+30960.14+2106.94</f>
        <v>128568.23</v>
      </c>
      <c r="I233" s="18">
        <f>299.54+125143.19+1283.09+67162.62</f>
        <v>193888.44</v>
      </c>
      <c r="J233" s="18">
        <f>5297.97</f>
        <v>5297.97</v>
      </c>
      <c r="K233" s="18">
        <f>13033</f>
        <v>13033</v>
      </c>
      <c r="L233" s="19">
        <f>SUM(F233:K233)</f>
        <v>21748993.580000002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191856.7+3348656.15-26476.2</f>
        <v>3514036.65</v>
      </c>
      <c r="G234" s="18">
        <f>-100534.34+1812384.31-6481.05</f>
        <v>1705368.92</v>
      </c>
      <c r="H234" s="18">
        <f>255883.4+246636.34+4126572.03-1619.79+2299.56</f>
        <v>4629771.5399999991</v>
      </c>
      <c r="I234" s="18">
        <f>9665.44+7749.69+3030.73</f>
        <v>20445.86</v>
      </c>
      <c r="J234" s="18">
        <f>2511.63+11250.1</f>
        <v>13761.73</v>
      </c>
      <c r="K234" s="18">
        <f>356.88</f>
        <v>356.88</v>
      </c>
      <c r="L234" s="19">
        <f>SUM(F234:K234)</f>
        <v>9883741.5800000001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2025404.95</v>
      </c>
      <c r="G235" s="18">
        <v>1012011.62</v>
      </c>
      <c r="H235" s="18">
        <v>2537.6999999999998</v>
      </c>
      <c r="I235" s="18">
        <v>8464.2199999999993</v>
      </c>
      <c r="J235" s="18"/>
      <c r="K235" s="18"/>
      <c r="L235" s="19">
        <f>SUM(F235:K235)</f>
        <v>3048418.49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688157.68+10749.09</f>
        <v>698906.77</v>
      </c>
      <c r="G236" s="18">
        <f>151577.96+2645.11</f>
        <v>154223.06999999998</v>
      </c>
      <c r="H236" s="18">
        <f>-576.95+124108.69+11193.28+7340-259+766+12658.94</f>
        <v>155230.96000000002</v>
      </c>
      <c r="I236" s="18">
        <f>407.64+63922.28+11400.09+44849.72+339.92</f>
        <v>120919.65</v>
      </c>
      <c r="J236" s="18">
        <f>26486.81+578.5</f>
        <v>27065.31</v>
      </c>
      <c r="K236" s="18">
        <f>109867.73+59000+35304+32000</f>
        <v>236171.72999999998</v>
      </c>
      <c r="L236" s="19">
        <f>SUM(F236:K236)</f>
        <v>1392517.49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124592.99+1612703.28</f>
        <v>1737296.27</v>
      </c>
      <c r="G238" s="18">
        <f>55846.88+726135.24</f>
        <v>781982.12</v>
      </c>
      <c r="H238" s="18">
        <f>1073206.57+344129.49+12920.75+542.53</f>
        <v>1430799.34</v>
      </c>
      <c r="I238" s="18">
        <v>1986.45</v>
      </c>
      <c r="J238" s="18"/>
      <c r="K238" s="18"/>
      <c r="L238" s="19">
        <f t="shared" ref="L238:L244" si="4">SUM(F238:K238)</f>
        <v>3952064.1800000006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21545.86+330716.48</f>
        <v>352262.33999999997</v>
      </c>
      <c r="G239" s="18">
        <f>16537.46+172036.33+1250+23474.22+22049.22+290</f>
        <v>235637.22999999998</v>
      </c>
      <c r="H239" s="18">
        <f>138.81</f>
        <v>138.81</v>
      </c>
      <c r="I239" s="18">
        <f>1612.5+20602.86+992.65+695.05</f>
        <v>23903.06</v>
      </c>
      <c r="J239" s="18"/>
      <c r="K239" s="18"/>
      <c r="L239" s="19">
        <f t="shared" si="4"/>
        <v>611941.44000000006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474316.08</f>
        <v>474316.08</v>
      </c>
      <c r="G240" s="18">
        <f>204611.63</f>
        <v>204611.63</v>
      </c>
      <c r="H240" s="18">
        <f>97726.06+2257.33</f>
        <v>99983.39</v>
      </c>
      <c r="I240" s="18">
        <f>1272</f>
        <v>1272</v>
      </c>
      <c r="J240" s="18"/>
      <c r="K240" s="18">
        <f>1108.24</f>
        <v>1108.24</v>
      </c>
      <c r="L240" s="19">
        <f t="shared" si="4"/>
        <v>781291.34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2075570.85</v>
      </c>
      <c r="G241" s="18">
        <f>1032682.08+300</f>
        <v>1032982.08</v>
      </c>
      <c r="H241" s="18">
        <f>10655.57+58.63+31898.36+1827.37+2253.5</f>
        <v>46693.43</v>
      </c>
      <c r="I241" s="18">
        <f>167.47+1692.7</f>
        <v>1860.17</v>
      </c>
      <c r="J241" s="18"/>
      <c r="K241" s="18">
        <f>22229+8104.96</f>
        <v>30333.96</v>
      </c>
      <c r="L241" s="19">
        <f t="shared" si="4"/>
        <v>3187440.49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f>304662.51</f>
        <v>304662.51</v>
      </c>
      <c r="G242" s="18">
        <f>164540.33</f>
        <v>164540.32999999999</v>
      </c>
      <c r="H242" s="18">
        <f>98433.11</f>
        <v>98433.11</v>
      </c>
      <c r="I242" s="18">
        <f>11011.57</f>
        <v>11011.57</v>
      </c>
      <c r="J242" s="18"/>
      <c r="K242" s="18"/>
      <c r="L242" s="19">
        <f t="shared" si="4"/>
        <v>578647.5199999999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>
        <f>4110094.71+26173.54+22170.78+107345+14383.58</f>
        <v>4280167.6099999994</v>
      </c>
      <c r="I243" s="18">
        <f>12568.84+821.95+248197.35+622330.23</f>
        <v>883918.37</v>
      </c>
      <c r="J243" s="18">
        <f>7066-535.91</f>
        <v>6530.09</v>
      </c>
      <c r="K243" s="18">
        <v>96.75</v>
      </c>
      <c r="L243" s="19">
        <f t="shared" si="4"/>
        <v>5170712.8199999994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10024.9</v>
      </c>
      <c r="G244" s="18">
        <v>3882.81</v>
      </c>
      <c r="H244" s="18">
        <f>1246760.21+0.01</f>
        <v>1246760.22</v>
      </c>
      <c r="I244" s="18"/>
      <c r="J244" s="18"/>
      <c r="K244" s="18"/>
      <c r="L244" s="19">
        <f t="shared" si="4"/>
        <v>1260667.93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f>338417.95</f>
        <v>338417.95</v>
      </c>
      <c r="G245" s="18">
        <f>145344.19</f>
        <v>145344.19</v>
      </c>
      <c r="H245" s="18">
        <f>216721.3+400+1350</f>
        <v>218471.3</v>
      </c>
      <c r="I245" s="18">
        <f>-34480.16+63000</f>
        <v>28519.839999999997</v>
      </c>
      <c r="J245" s="18">
        <f>3840.39+20079.01</f>
        <v>23919.399999999998</v>
      </c>
      <c r="K245" s="18">
        <f>32.25</f>
        <v>32.25</v>
      </c>
      <c r="L245" s="19">
        <f>SUM(F245:K245)</f>
        <v>754704.92999999993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26402858.409999996</v>
      </c>
      <c r="G247" s="41">
        <f t="shared" si="5"/>
        <v>11976830.800000001</v>
      </c>
      <c r="H247" s="41">
        <f t="shared" si="5"/>
        <v>12337555.639999999</v>
      </c>
      <c r="I247" s="41">
        <f t="shared" si="5"/>
        <v>1296189.6300000001</v>
      </c>
      <c r="J247" s="41">
        <f t="shared" si="5"/>
        <v>76574.5</v>
      </c>
      <c r="K247" s="41">
        <f t="shared" si="5"/>
        <v>281132.81</v>
      </c>
      <c r="L247" s="41">
        <f t="shared" si="5"/>
        <v>52371141.790000014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1033.6400000000001</v>
      </c>
      <c r="G251" s="18">
        <v>140.69</v>
      </c>
      <c r="H251" s="18">
        <v>3335.47</v>
      </c>
      <c r="I251" s="18"/>
      <c r="J251" s="18"/>
      <c r="K251" s="18"/>
      <c r="L251" s="19">
        <f t="shared" si="6"/>
        <v>4509.8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1033.6400000000001</v>
      </c>
      <c r="G256" s="41">
        <f t="shared" si="7"/>
        <v>140.69</v>
      </c>
      <c r="H256" s="41">
        <f t="shared" si="7"/>
        <v>3335.47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4509.8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82188003.649999991</v>
      </c>
      <c r="G257" s="41">
        <f t="shared" si="8"/>
        <v>38413043.359999999</v>
      </c>
      <c r="H257" s="41">
        <f t="shared" si="8"/>
        <v>27948346.829999998</v>
      </c>
      <c r="I257" s="41">
        <f t="shared" si="8"/>
        <v>2830950.71</v>
      </c>
      <c r="J257" s="41">
        <f t="shared" si="8"/>
        <v>163531.67000000001</v>
      </c>
      <c r="K257" s="41">
        <f t="shared" si="8"/>
        <v>413581.42</v>
      </c>
      <c r="L257" s="41">
        <f t="shared" si="8"/>
        <v>151957457.64000002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8075793.4500000002</v>
      </c>
      <c r="L260" s="19">
        <f>SUM(F260:K260)</f>
        <v>8075793.4500000002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4676820.92</v>
      </c>
      <c r="L261" s="19">
        <f>SUM(F261:K261)</f>
        <v>4676820.92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f>138385.8+148374.5+46176</f>
        <v>332936.3</v>
      </c>
      <c r="L266" s="19">
        <f t="shared" si="9"/>
        <v>332936.3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606487.79</v>
      </c>
      <c r="L268" s="19">
        <f t="shared" si="9"/>
        <v>606487.79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13692038.460000001</v>
      </c>
      <c r="L270" s="41">
        <f t="shared" si="9"/>
        <v>13692038.460000001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82188003.649999991</v>
      </c>
      <c r="G271" s="42">
        <f t="shared" si="11"/>
        <v>38413043.359999999</v>
      </c>
      <c r="H271" s="42">
        <f t="shared" si="11"/>
        <v>27948346.829999998</v>
      </c>
      <c r="I271" s="42">
        <f t="shared" si="11"/>
        <v>2830950.71</v>
      </c>
      <c r="J271" s="42">
        <f t="shared" si="11"/>
        <v>163531.67000000001</v>
      </c>
      <c r="K271" s="42">
        <f t="shared" si="11"/>
        <v>14105619.880000001</v>
      </c>
      <c r="L271" s="42">
        <f t="shared" si="11"/>
        <v>165649496.10000002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713271.03</v>
      </c>
      <c r="G276" s="18">
        <v>306363.71000000002</v>
      </c>
      <c r="H276" s="18">
        <v>30769.24</v>
      </c>
      <c r="I276" s="18">
        <v>15970.51</v>
      </c>
      <c r="J276" s="18">
        <v>46274.36</v>
      </c>
      <c r="K276" s="18"/>
      <c r="L276" s="19">
        <f>SUM(F276:K276)</f>
        <v>1112648.8500000001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5025076.07</v>
      </c>
      <c r="G277" s="18">
        <v>2392584.64</v>
      </c>
      <c r="H277" s="18">
        <v>1039039.61</v>
      </c>
      <c r="I277" s="18">
        <v>724997.42</v>
      </c>
      <c r="J277" s="18">
        <v>292559.78000000003</v>
      </c>
      <c r="K277" s="18">
        <v>162</v>
      </c>
      <c r="L277" s="19">
        <f>SUM(F277:K277)</f>
        <v>9474419.5199999996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440655.02</v>
      </c>
      <c r="G279" s="18">
        <v>104483.45</v>
      </c>
      <c r="H279" s="18">
        <v>38621.68</v>
      </c>
      <c r="I279" s="18">
        <v>14263.02</v>
      </c>
      <c r="J279" s="18">
        <v>2879.45</v>
      </c>
      <c r="K279" s="18"/>
      <c r="L279" s="19">
        <f>SUM(F279:K279)</f>
        <v>600902.62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399428.24</v>
      </c>
      <c r="G281" s="18">
        <v>227735.54</v>
      </c>
      <c r="H281" s="18"/>
      <c r="I281" s="18"/>
      <c r="J281" s="18"/>
      <c r="K281" s="18"/>
      <c r="L281" s="19">
        <f t="shared" ref="L281:L287" si="12">SUM(F281:K281)</f>
        <v>627163.78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3559.97</v>
      </c>
      <c r="G282" s="18">
        <v>1796.91</v>
      </c>
      <c r="H282" s="18">
        <v>20880</v>
      </c>
      <c r="I282" s="18"/>
      <c r="J282" s="18"/>
      <c r="K282" s="18"/>
      <c r="L282" s="19">
        <f t="shared" si="12"/>
        <v>26236.880000000001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220431.22</v>
      </c>
      <c r="G283" s="18">
        <v>119474.74</v>
      </c>
      <c r="H283" s="18">
        <v>11247.29</v>
      </c>
      <c r="I283" s="18">
        <v>1022.1</v>
      </c>
      <c r="J283" s="18">
        <v>3537.52</v>
      </c>
      <c r="K283" s="18"/>
      <c r="L283" s="19">
        <f t="shared" si="12"/>
        <v>355712.87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>
        <v>21185.67</v>
      </c>
      <c r="K288" s="18"/>
      <c r="L288" s="19">
        <f>SUM(F288:K288)</f>
        <v>21185.67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6802421.5500000007</v>
      </c>
      <c r="G290" s="42">
        <f t="shared" si="13"/>
        <v>3152438.9900000007</v>
      </c>
      <c r="H290" s="42">
        <f t="shared" si="13"/>
        <v>1140557.82</v>
      </c>
      <c r="I290" s="42">
        <f t="shared" si="13"/>
        <v>756253.05</v>
      </c>
      <c r="J290" s="42">
        <f t="shared" si="13"/>
        <v>366436.78</v>
      </c>
      <c r="K290" s="42">
        <f t="shared" si="13"/>
        <v>162</v>
      </c>
      <c r="L290" s="41">
        <f t="shared" si="13"/>
        <v>12218270.189999998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49053.61</v>
      </c>
      <c r="G295" s="18">
        <v>18347.669999999998</v>
      </c>
      <c r="H295" s="18">
        <v>17654.5</v>
      </c>
      <c r="I295" s="18">
        <v>2757</v>
      </c>
      <c r="J295" s="18">
        <v>6124</v>
      </c>
      <c r="K295" s="18"/>
      <c r="L295" s="19">
        <f>SUM(F295:K295)</f>
        <v>93936.78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1141400.01</v>
      </c>
      <c r="G296" s="18">
        <v>755678.91</v>
      </c>
      <c r="H296" s="18">
        <v>138045.07999999999</v>
      </c>
      <c r="I296" s="18">
        <v>47604.41</v>
      </c>
      <c r="J296" s="18">
        <v>60916.4</v>
      </c>
      <c r="K296" s="18">
        <v>105</v>
      </c>
      <c r="L296" s="19">
        <f>SUM(F296:K296)</f>
        <v>2143749.81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218103.18</v>
      </c>
      <c r="G298" s="18">
        <v>46241.66</v>
      </c>
      <c r="H298" s="18">
        <v>11605.65</v>
      </c>
      <c r="I298" s="18">
        <v>7298.76</v>
      </c>
      <c r="J298" s="18"/>
      <c r="K298" s="18"/>
      <c r="L298" s="19">
        <f>SUM(F298:K298)</f>
        <v>283249.25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61136.84</v>
      </c>
      <c r="G300" s="18">
        <v>31981.77</v>
      </c>
      <c r="H300" s="18"/>
      <c r="I300" s="18"/>
      <c r="J300" s="18"/>
      <c r="K300" s="18"/>
      <c r="L300" s="19">
        <f t="shared" ref="L300:L306" si="14">SUM(F300:K300)</f>
        <v>93118.61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2076.65</v>
      </c>
      <c r="G301" s="18">
        <v>581.62</v>
      </c>
      <c r="H301" s="18">
        <v>12180</v>
      </c>
      <c r="I301" s="18"/>
      <c r="J301" s="18"/>
      <c r="K301" s="18"/>
      <c r="L301" s="19">
        <f t="shared" si="14"/>
        <v>14838.27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43000.15</v>
      </c>
      <c r="G302" s="18">
        <v>20654.7</v>
      </c>
      <c r="H302" s="18">
        <v>3055.37</v>
      </c>
      <c r="I302" s="18">
        <v>325.01</v>
      </c>
      <c r="J302" s="18">
        <v>148.16999999999999</v>
      </c>
      <c r="K302" s="18"/>
      <c r="L302" s="19">
        <f t="shared" si="14"/>
        <v>67183.399999999994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>
        <v>24000</v>
      </c>
      <c r="K305" s="18"/>
      <c r="L305" s="19">
        <f t="shared" si="14"/>
        <v>24000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>
        <v>1963.18</v>
      </c>
      <c r="K307" s="18"/>
      <c r="L307" s="19">
        <f>SUM(F307:K307)</f>
        <v>1963.18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1514770.44</v>
      </c>
      <c r="G309" s="42">
        <f t="shared" si="15"/>
        <v>873486.33000000007</v>
      </c>
      <c r="H309" s="42">
        <f t="shared" si="15"/>
        <v>182540.59999999998</v>
      </c>
      <c r="I309" s="42">
        <f t="shared" si="15"/>
        <v>57985.180000000008</v>
      </c>
      <c r="J309" s="42">
        <f t="shared" si="15"/>
        <v>93151.749999999985</v>
      </c>
      <c r="K309" s="42">
        <f t="shared" si="15"/>
        <v>105</v>
      </c>
      <c r="L309" s="41">
        <f t="shared" si="15"/>
        <v>2722039.3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130938.05</v>
      </c>
      <c r="G314" s="18">
        <v>19250.48</v>
      </c>
      <c r="H314" s="18">
        <v>118994.08</v>
      </c>
      <c r="I314" s="18">
        <v>20185.560000000001</v>
      </c>
      <c r="J314" s="18">
        <v>21525.07</v>
      </c>
      <c r="K314" s="18">
        <v>85875</v>
      </c>
      <c r="L314" s="19">
        <f>SUM(F314:K314)</f>
        <v>396768.24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1290638.1299999999</v>
      </c>
      <c r="G315" s="18">
        <v>801783.37</v>
      </c>
      <c r="H315" s="18">
        <v>25764.21</v>
      </c>
      <c r="I315" s="18">
        <v>11054.53</v>
      </c>
      <c r="J315" s="18">
        <v>30011.82</v>
      </c>
      <c r="K315" s="18">
        <v>33</v>
      </c>
      <c r="L315" s="19">
        <f>SUM(F315:K315)</f>
        <v>2159285.0599999996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33633.25</v>
      </c>
      <c r="G316" s="18">
        <v>3458.97</v>
      </c>
      <c r="H316" s="18">
        <v>20822.05</v>
      </c>
      <c r="I316" s="18">
        <v>150879.54</v>
      </c>
      <c r="J316" s="18">
        <v>197051.92</v>
      </c>
      <c r="K316" s="18">
        <v>4150</v>
      </c>
      <c r="L316" s="19">
        <f>SUM(F316:K316)</f>
        <v>409995.73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31729.84</v>
      </c>
      <c r="G317" s="18">
        <v>7449.54</v>
      </c>
      <c r="H317" s="18">
        <v>26143.84</v>
      </c>
      <c r="I317" s="18">
        <v>562.96</v>
      </c>
      <c r="J317" s="18"/>
      <c r="K317" s="18"/>
      <c r="L317" s="19">
        <f>SUM(F317:K317)</f>
        <v>65886.180000000008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117504.22</v>
      </c>
      <c r="G319" s="18">
        <v>42883.41</v>
      </c>
      <c r="H319" s="18">
        <v>50843.44</v>
      </c>
      <c r="I319" s="18">
        <v>8258.0400000000009</v>
      </c>
      <c r="J319" s="18">
        <v>20189.72</v>
      </c>
      <c r="K319" s="18"/>
      <c r="L319" s="19">
        <f t="shared" ref="L319:L325" si="16">SUM(F319:K319)</f>
        <v>239678.83000000002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4252.18</v>
      </c>
      <c r="G320" s="18">
        <v>2431.62</v>
      </c>
      <c r="H320" s="18">
        <v>36904</v>
      </c>
      <c r="I320" s="18"/>
      <c r="J320" s="18"/>
      <c r="K320" s="18">
        <v>19035.05</v>
      </c>
      <c r="L320" s="19">
        <f t="shared" si="16"/>
        <v>62622.850000000006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10317.75</v>
      </c>
      <c r="G321" s="18">
        <v>4918.3500000000004</v>
      </c>
      <c r="H321" s="18">
        <v>5751.95</v>
      </c>
      <c r="I321" s="18">
        <v>79.77</v>
      </c>
      <c r="J321" s="18">
        <v>2427.83</v>
      </c>
      <c r="K321" s="18"/>
      <c r="L321" s="19">
        <f t="shared" si="16"/>
        <v>23495.65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>
        <v>4086.29</v>
      </c>
      <c r="J322" s="18"/>
      <c r="K322" s="18"/>
      <c r="L322" s="19">
        <f t="shared" si="16"/>
        <v>4086.29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>
        <v>35166.54</v>
      </c>
      <c r="K326" s="18"/>
      <c r="L326" s="19">
        <f>SUM(F326:K326)</f>
        <v>35166.54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1619013.42</v>
      </c>
      <c r="G328" s="42">
        <f t="shared" si="17"/>
        <v>882175.74</v>
      </c>
      <c r="H328" s="42">
        <f t="shared" si="17"/>
        <v>285223.57</v>
      </c>
      <c r="I328" s="42">
        <f t="shared" si="17"/>
        <v>195106.69</v>
      </c>
      <c r="J328" s="42">
        <f t="shared" si="17"/>
        <v>306372.90000000002</v>
      </c>
      <c r="K328" s="42">
        <f t="shared" si="17"/>
        <v>109093.05</v>
      </c>
      <c r="L328" s="41">
        <f t="shared" si="17"/>
        <v>3396985.37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>
        <v>20855.189999999999</v>
      </c>
      <c r="I332" s="18"/>
      <c r="J332" s="18"/>
      <c r="K332" s="18"/>
      <c r="L332" s="19">
        <f t="shared" ref="L332:L337" si="18">SUM(F332:K332)</f>
        <v>20855.189999999999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364363.11</v>
      </c>
      <c r="G333" s="18">
        <v>66254.77</v>
      </c>
      <c r="H333" s="18">
        <v>8930.58</v>
      </c>
      <c r="I333" s="18">
        <v>54507.88</v>
      </c>
      <c r="J333" s="18">
        <v>12300.05</v>
      </c>
      <c r="K333" s="18"/>
      <c r="L333" s="19">
        <f t="shared" si="18"/>
        <v>506356.39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>
        <v>19152.669999999998</v>
      </c>
      <c r="G336" s="18"/>
      <c r="H336" s="18">
        <f>1300+319</f>
        <v>1619</v>
      </c>
      <c r="I336" s="18">
        <v>317327.25</v>
      </c>
      <c r="J336" s="18"/>
      <c r="K336" s="18"/>
      <c r="L336" s="19">
        <f t="shared" si="18"/>
        <v>338098.92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383515.77999999997</v>
      </c>
      <c r="G337" s="41">
        <f t="shared" si="19"/>
        <v>66254.77</v>
      </c>
      <c r="H337" s="41">
        <f t="shared" si="19"/>
        <v>31404.769999999997</v>
      </c>
      <c r="I337" s="41">
        <f t="shared" si="19"/>
        <v>371835.13</v>
      </c>
      <c r="J337" s="41">
        <f t="shared" si="19"/>
        <v>12300.05</v>
      </c>
      <c r="K337" s="41">
        <f t="shared" si="19"/>
        <v>0</v>
      </c>
      <c r="L337" s="41">
        <f t="shared" si="18"/>
        <v>865310.5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10319721.189999999</v>
      </c>
      <c r="G338" s="41">
        <f t="shared" si="20"/>
        <v>4974355.83</v>
      </c>
      <c r="H338" s="41">
        <f t="shared" si="20"/>
        <v>1639726.76</v>
      </c>
      <c r="I338" s="41">
        <f t="shared" si="20"/>
        <v>1381180.0500000003</v>
      </c>
      <c r="J338" s="41">
        <f t="shared" si="20"/>
        <v>778261.4800000001</v>
      </c>
      <c r="K338" s="41">
        <f t="shared" si="20"/>
        <v>109360.05</v>
      </c>
      <c r="L338" s="41">
        <f t="shared" si="20"/>
        <v>19202605.359999999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234409.53</v>
      </c>
      <c r="L344" s="19">
        <f t="shared" ref="L344:L350" si="21">SUM(F344:K344)</f>
        <v>234409.53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234409.53</v>
      </c>
      <c r="L351" s="41">
        <f>SUM(L341:L350)</f>
        <v>234409.53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10319721.189999999</v>
      </c>
      <c r="G352" s="41">
        <f>G338</f>
        <v>4974355.83</v>
      </c>
      <c r="H352" s="41">
        <f>H338</f>
        <v>1639726.76</v>
      </c>
      <c r="I352" s="41">
        <f>I338</f>
        <v>1381180.0500000003</v>
      </c>
      <c r="J352" s="41">
        <f>J338</f>
        <v>778261.4800000001</v>
      </c>
      <c r="K352" s="47">
        <f>K338+K351</f>
        <v>343769.58</v>
      </c>
      <c r="L352" s="41">
        <f>L338+L351</f>
        <v>19437014.890000001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141780.02+0.01+39328.95+540996.54</f>
        <v>722105.52</v>
      </c>
      <c r="G358" s="18">
        <f>86539.15+20646.73+196679.14</f>
        <v>303865.02</v>
      </c>
      <c r="H358" s="18">
        <f>15411.54+7932.35+11681.5+1792.41+274.14+6508.6+187.66+229590.67+7217.4+1114.2+21532.5+5.35</f>
        <v>303248.32</v>
      </c>
      <c r="I358" s="18">
        <f>6305.48+5090.37+906409.03+8333.33+8333.33+182918.2</f>
        <v>1117389.74</v>
      </c>
      <c r="J358" s="18"/>
      <c r="K358" s="18">
        <v>16666.669999999998</v>
      </c>
      <c r="L358" s="13">
        <f>SUM(F358:K358)</f>
        <v>2463275.27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80516.51+99291.81+410506.34</f>
        <v>590314.66</v>
      </c>
      <c r="G359" s="18">
        <f>49145.36+31304.74+140780.94</f>
        <v>221231.04</v>
      </c>
      <c r="H359" s="18">
        <f>8752.18+4504.76+6633.9+1017.9+155.68+3696.22+106.57+16816.67+9211.96+268.56+9045</f>
        <v>60209.4</v>
      </c>
      <c r="I359" s="18">
        <f>3580.87+2890.81+383448.8+8333.33+8333.33+103878.78</f>
        <v>510465.92000000004</v>
      </c>
      <c r="J359" s="18"/>
      <c r="K359" s="18">
        <v>16666.669999999998</v>
      </c>
      <c r="L359" s="19">
        <f>SUM(F359:K359)</f>
        <v>1398887.69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79441.09+101058.92+401067.57</f>
        <v>581567.58000000007</v>
      </c>
      <c r="G360" s="18">
        <f>48488.95+43100.89+144133.58</f>
        <v>235723.41999999998</v>
      </c>
      <c r="H360" s="18">
        <f>8635.28+4444.59+6545.29+1004.31+153.6+3646.85+105.15+17741.66+3993.08+204.72+6033.75</f>
        <v>52508.28</v>
      </c>
      <c r="I360" s="18">
        <f>3533.04+2852.2+368194.32+8333.34+8333.34+102491.32</f>
        <v>493737.56000000006</v>
      </c>
      <c r="J360" s="18"/>
      <c r="K360" s="18">
        <v>16666.66</v>
      </c>
      <c r="L360" s="19">
        <f>SUM(F360:K360)</f>
        <v>1380203.5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1893987.7600000002</v>
      </c>
      <c r="G362" s="47">
        <f t="shared" si="22"/>
        <v>760819.48</v>
      </c>
      <c r="H362" s="47">
        <f t="shared" si="22"/>
        <v>415966</v>
      </c>
      <c r="I362" s="47">
        <f t="shared" si="22"/>
        <v>2121593.2200000002</v>
      </c>
      <c r="J362" s="47">
        <f t="shared" si="22"/>
        <v>0</v>
      </c>
      <c r="K362" s="47">
        <f t="shared" si="22"/>
        <v>50000</v>
      </c>
      <c r="L362" s="47">
        <f t="shared" si="22"/>
        <v>5242366.46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1440.72+819167.61+182918.2+0.01</f>
        <v>1003526.54</v>
      </c>
      <c r="G367" s="18">
        <f>818.18+354171.07+103878.78</f>
        <v>458868.03</v>
      </c>
      <c r="H367" s="18">
        <f>807.25+339556.17+102491.32</f>
        <v>442854.74</v>
      </c>
      <c r="I367" s="56">
        <f>SUM(F367:H367)</f>
        <v>1905249.31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9955.13+103908.08+0.01</f>
        <v>113863.22</v>
      </c>
      <c r="G368" s="63">
        <v>51597.88</v>
      </c>
      <c r="H368" s="63">
        <v>50882.81</v>
      </c>
      <c r="I368" s="56">
        <f>SUM(F368:H368)</f>
        <v>216343.91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1117389.76</v>
      </c>
      <c r="G369" s="47">
        <f>SUM(G367:G368)</f>
        <v>510465.91000000003</v>
      </c>
      <c r="H369" s="47">
        <f>SUM(H367:H368)</f>
        <v>493737.55</v>
      </c>
      <c r="I369" s="47">
        <f>SUM(I367:I368)</f>
        <v>2121593.2200000002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>
        <f>138385.8+148374.5</f>
        <v>286760.3</v>
      </c>
      <c r="H395" s="18">
        <v>-15381</v>
      </c>
      <c r="I395" s="18"/>
      <c r="J395" s="24" t="s">
        <v>288</v>
      </c>
      <c r="K395" s="24" t="s">
        <v>288</v>
      </c>
      <c r="L395" s="56">
        <f t="shared" ref="L395:L400" si="26">SUM(F395:K395)</f>
        <v>271379.3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46176</v>
      </c>
      <c r="H396" s="18">
        <v>-1186</v>
      </c>
      <c r="I396" s="18"/>
      <c r="J396" s="24" t="s">
        <v>288</v>
      </c>
      <c r="K396" s="24" t="s">
        <v>288</v>
      </c>
      <c r="L396" s="56">
        <f t="shared" si="26"/>
        <v>44990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-14269</v>
      </c>
      <c r="I397" s="18"/>
      <c r="J397" s="24" t="s">
        <v>288</v>
      </c>
      <c r="K397" s="24" t="s">
        <v>288</v>
      </c>
      <c r="L397" s="56">
        <f t="shared" si="26"/>
        <v>-14269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71+281</f>
        <v>352</v>
      </c>
      <c r="I400" s="18"/>
      <c r="J400" s="24" t="s">
        <v>288</v>
      </c>
      <c r="K400" s="24" t="s">
        <v>288</v>
      </c>
      <c r="L400" s="56">
        <f t="shared" si="26"/>
        <v>352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332936.3</v>
      </c>
      <c r="H401" s="47">
        <f>SUM(H395:H400)</f>
        <v>-30484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302452.3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332936.3</v>
      </c>
      <c r="H408" s="47">
        <f>H393+H401+H407</f>
        <v>-30484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302452.3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v>332936.3</v>
      </c>
      <c r="H441" s="18"/>
      <c r="I441" s="56">
        <f t="shared" si="33"/>
        <v>332936.3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v>883943.66</v>
      </c>
      <c r="H442" s="18"/>
      <c r="I442" s="56">
        <f t="shared" si="33"/>
        <v>883943.66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1216879.96</v>
      </c>
      <c r="H446" s="13">
        <f>SUM(H439:H445)</f>
        <v>0</v>
      </c>
      <c r="I446" s="13">
        <f>SUM(I439:I445)</f>
        <v>1216879.96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1216879.96</v>
      </c>
      <c r="H459" s="18"/>
      <c r="I459" s="56">
        <f t="shared" si="34"/>
        <v>1216879.96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1216879.96</v>
      </c>
      <c r="H460" s="83">
        <f>SUM(H454:H459)</f>
        <v>0</v>
      </c>
      <c r="I460" s="83">
        <f>SUM(I454:I459)</f>
        <v>1216879.96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1216879.96</v>
      </c>
      <c r="H461" s="42">
        <f>H452+H460</f>
        <v>0</v>
      </c>
      <c r="I461" s="42">
        <f>I452+I460</f>
        <v>1216879.96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1625436.62</v>
      </c>
      <c r="G465" s="18">
        <v>187408.6</v>
      </c>
      <c r="H465" s="18">
        <v>1094353.1299999999</v>
      </c>
      <c r="I465" s="18"/>
      <c r="J465" s="18">
        <v>914427.66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164773220.40000001</v>
      </c>
      <c r="G468" s="18">
        <v>5393587.96</v>
      </c>
      <c r="H468" s="18">
        <v>19374310.23</v>
      </c>
      <c r="I468" s="18"/>
      <c r="J468" s="18">
        <v>302452.3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164773220.40000001</v>
      </c>
      <c r="G470" s="53">
        <f>SUM(G468:G469)</f>
        <v>5393587.96</v>
      </c>
      <c r="H470" s="53">
        <f>SUM(H468:H469)</f>
        <v>19374310.23</v>
      </c>
      <c r="I470" s="53">
        <f>SUM(I468:I469)</f>
        <v>0</v>
      </c>
      <c r="J470" s="53">
        <f>SUM(J468:J469)</f>
        <v>302452.3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165649496.09999999</v>
      </c>
      <c r="G472" s="18">
        <v>5242366.46</v>
      </c>
      <c r="H472" s="18">
        <v>19437014.890000001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165649496.09999999</v>
      </c>
      <c r="G474" s="53">
        <f>SUM(G472:G473)</f>
        <v>5242366.46</v>
      </c>
      <c r="H474" s="53">
        <f>SUM(H472:H473)</f>
        <v>19437014.890000001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749160.92000001669</v>
      </c>
      <c r="G476" s="53">
        <f>(G465+G470)- G474</f>
        <v>338630.09999999963</v>
      </c>
      <c r="H476" s="53">
        <f>(H465+H470)- H474</f>
        <v>1031648.4699999988</v>
      </c>
      <c r="I476" s="53">
        <f>(I465+I470)- I474</f>
        <v>0</v>
      </c>
      <c r="J476" s="53">
        <f>(J465+J470)- J474</f>
        <v>1216879.96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9431621.6199999992</v>
      </c>
      <c r="G507" s="144">
        <v>815947.45</v>
      </c>
      <c r="H507" s="144">
        <v>1291547</v>
      </c>
      <c r="I507" s="144">
        <v>8956022.0700000003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17306.96+6515673.19+23070.6+840828.91+580631.72+20518.8+96361.57+245437.11+6017.93+1526.67+20745.36+167659.69+87229.56</f>
        <v>8623008.0700000003</v>
      </c>
      <c r="G521" s="18">
        <f>9242.04+4425069.71+7274.14+393515.89+317791.99+29052.47+71173.71+105959.95+15611.61+919.45+10876.08-89208.61+67793</f>
        <v>5365071.43</v>
      </c>
      <c r="H521" s="18">
        <f>344685.38+149.76+1100.75+815370.83+2590.51+67.78+18198.83+86.72+12740.88+2522.34+273528.71+104.55+68.07+346037.41+25978.09+51391.88+37.8+137.49</f>
        <v>1894797.78</v>
      </c>
      <c r="I521" s="18">
        <f>40504.76+269.89+533.95+142.6+270.16+149.9+697.32+8092+606.68</f>
        <v>51267.26</v>
      </c>
      <c r="J521" s="18">
        <f>628+1345.32</f>
        <v>1973.32</v>
      </c>
      <c r="K521" s="18">
        <f>298.78+108</f>
        <v>406.78</v>
      </c>
      <c r="L521" s="88">
        <f>SUM(F521:K521)</f>
        <v>15936524.639999999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3492431.9+1169+271935.46+385324.95+14185.78+114429.83+3510.46+890.56+471.84+97801.49+50883.91</f>
        <v>4433035.18</v>
      </c>
      <c r="G522" s="18">
        <f>2093284.56+368.59+142541.2+183945.58+6155.67+60665.34+9106.77+536.35+110.03-52038.35+39545.92</f>
        <v>2484221.6599999997</v>
      </c>
      <c r="H522" s="18">
        <f>138777.78+360000+1136030.45+1188.56+61.56+265835.45+761317.17+177287+39.71+201855.16+15153.89+29978.6+22.05+80.2</f>
        <v>3087627.5800000005</v>
      </c>
      <c r="I522" s="18">
        <f>5162.86+406.77+226.84+4720.33+353.9</f>
        <v>10870.699999999999</v>
      </c>
      <c r="J522" s="18">
        <f>655+784.77</f>
        <v>1439.77</v>
      </c>
      <c r="K522" s="18">
        <f>22.9+174.29+63</f>
        <v>260.19</v>
      </c>
      <c r="L522" s="88">
        <f>SUM(F522:K522)</f>
        <v>10017455.079999998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2609128.88+25495.89+281324.68+442552.82+572.1+1670.46+60234.68+7188.09+1823.53+193392.88+70087.44+11063.26+52936.88+26235.54+200260.19+104190.86</f>
        <v>4088158.1799999992</v>
      </c>
      <c r="G523" s="18">
        <f>1506823.03+8038.87+152840.54+252760.89+646.75+1153.85+30199.98+18647.2+1098.24+157992.97+36754.86+5276.73+22228.32+14062.2-106554.73+80974.97</f>
        <v>2182944.6700000004</v>
      </c>
      <c r="H523" s="18">
        <f>244159.56+2507060.05+463.63+45363.78+725981.91+792447.29+55719+81.31+1619.79+413322.47+31029.39+61384.74+45.15+164.22</f>
        <v>4878842.2899999991</v>
      </c>
      <c r="I523" s="18">
        <f>7749.69+2245.44+832.91+9665.44+724.65</f>
        <v>21218.13</v>
      </c>
      <c r="J523" s="18">
        <f>11250.1+1606.91</f>
        <v>12857.01</v>
      </c>
      <c r="K523" s="18">
        <f>356.88+129</f>
        <v>485.88</v>
      </c>
      <c r="L523" s="88">
        <f>SUM(F523:K523)</f>
        <v>11184506.16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17144201.43</v>
      </c>
      <c r="G524" s="108">
        <f t="shared" ref="G524:L524" si="36">SUM(G521:G523)</f>
        <v>10032237.76</v>
      </c>
      <c r="H524" s="108">
        <f t="shared" si="36"/>
        <v>9861267.6499999985</v>
      </c>
      <c r="I524" s="108">
        <f t="shared" si="36"/>
        <v>83356.09</v>
      </c>
      <c r="J524" s="108">
        <f t="shared" si="36"/>
        <v>16270.1</v>
      </c>
      <c r="K524" s="108">
        <f t="shared" si="36"/>
        <v>1152.8499999999999</v>
      </c>
      <c r="L524" s="89">
        <f t="shared" si="36"/>
        <v>37138485.879999995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2595.94+440041.94+968811.86+546761.6+116015.46</f>
        <v>2074226.7999999998</v>
      </c>
      <c r="G526" s="18">
        <f>198.6+195210.37+456984.15+199.99+289147.05+65271.63</f>
        <v>1007011.7899999999</v>
      </c>
      <c r="H526" s="18">
        <f>292414.42+82.09+6532.61+455209.73+557.79+3300.6+5902.04+600.46+136269.88+598.09+216.57</f>
        <v>901684.27999999991</v>
      </c>
      <c r="I526" s="18">
        <f>1259.16+2374.46+1477.06</f>
        <v>5110.68</v>
      </c>
      <c r="J526" s="18"/>
      <c r="K526" s="18"/>
      <c r="L526" s="88">
        <f>SUM(F526:K526)</f>
        <v>3988033.55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137014.74+54876.46+28906.84+67675.69+46820.84</f>
        <v>335294.56999999995</v>
      </c>
      <c r="G527" s="18">
        <f>50228.4+20624.62+18482.05+38075.12+14704.05</f>
        <v>142114.23999999999</v>
      </c>
      <c r="H527" s="18">
        <f>21281.92+59258.68+266.5+205484.15+83.79+1398.6+79490.76+348.89+165.75+30.01</f>
        <v>367809.05</v>
      </c>
      <c r="I527" s="18">
        <f>1912.4+570.06</f>
        <v>2482.46</v>
      </c>
      <c r="J527" s="18"/>
      <c r="K527" s="18"/>
      <c r="L527" s="88">
        <f>SUM(F527:K527)</f>
        <v>847700.31999999983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57422.28+156560.74+36877.62+138574.02+95871.23</f>
        <v>485305.88999999996</v>
      </c>
      <c r="G528" s="18">
        <f>36541.39+48676.34+15892.85+77963.34+30108.29</f>
        <v>209182.21</v>
      </c>
      <c r="H528" s="18">
        <f>260.18+189649.23+234.46+40333.78+56588.04+6559.02+16921.93+40636.51+6101.55+162766.8+714.39+339.36</f>
        <v>521105.25</v>
      </c>
      <c r="I528" s="18">
        <f>1651.8</f>
        <v>1651.8</v>
      </c>
      <c r="J528" s="18"/>
      <c r="K528" s="18"/>
      <c r="L528" s="88">
        <f>SUM(F528:K528)</f>
        <v>1217245.1500000001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2894827.26</v>
      </c>
      <c r="G529" s="89">
        <f t="shared" ref="G529:L529" si="37">SUM(G526:G528)</f>
        <v>1358308.2399999998</v>
      </c>
      <c r="H529" s="89">
        <f t="shared" si="37"/>
        <v>1790598.5799999998</v>
      </c>
      <c r="I529" s="89">
        <f t="shared" si="37"/>
        <v>9244.94</v>
      </c>
      <c r="J529" s="89">
        <f t="shared" si="37"/>
        <v>0</v>
      </c>
      <c r="K529" s="89">
        <f t="shared" si="37"/>
        <v>0</v>
      </c>
      <c r="L529" s="89">
        <f t="shared" si="37"/>
        <v>6052979.0199999996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80264.289999999994</v>
      </c>
      <c r="G531" s="18">
        <f>799.85+1063.97+25206.94</f>
        <v>27070.76</v>
      </c>
      <c r="H531" s="18">
        <f>383.42+284.11</f>
        <v>667.53</v>
      </c>
      <c r="I531" s="18"/>
      <c r="J531" s="18"/>
      <c r="K531" s="18"/>
      <c r="L531" s="88">
        <f>SUM(F531:K531)</f>
        <v>108002.57999999999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>
        <v>2148.9899999999998</v>
      </c>
      <c r="H532" s="18"/>
      <c r="I532" s="18"/>
      <c r="J532" s="18"/>
      <c r="K532" s="18"/>
      <c r="L532" s="88">
        <f>SUM(F532:K532)</f>
        <v>2148.9899999999998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>
        <v>1481.97</v>
      </c>
      <c r="H533" s="18"/>
      <c r="I533" s="18"/>
      <c r="J533" s="18"/>
      <c r="K533" s="18"/>
      <c r="L533" s="88">
        <f>SUM(F533:K533)</f>
        <v>1481.97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80264.289999999994</v>
      </c>
      <c r="G534" s="89">
        <f t="shared" ref="G534:L534" si="38">SUM(G531:G533)</f>
        <v>30701.72</v>
      </c>
      <c r="H534" s="89">
        <f t="shared" si="38"/>
        <v>667.53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111633.54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23329.41</v>
      </c>
      <c r="I536" s="18"/>
      <c r="J536" s="18"/>
      <c r="K536" s="18"/>
      <c r="L536" s="88">
        <f>SUM(F536:K536)</f>
        <v>23329.41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13608.83</v>
      </c>
      <c r="I537" s="18"/>
      <c r="J537" s="18"/>
      <c r="K537" s="18"/>
      <c r="L537" s="88">
        <f>SUM(F537:K537)</f>
        <v>13608.83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27865.69</v>
      </c>
      <c r="I538" s="18"/>
      <c r="J538" s="18"/>
      <c r="K538" s="18"/>
      <c r="L538" s="88">
        <f>SUM(F538:K538)</f>
        <v>27865.69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64803.929999999993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64803.929999999993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f>12822.8</f>
        <v>12822.8</v>
      </c>
      <c r="G541" s="18">
        <v>4966.4799999999996</v>
      </c>
      <c r="H541" s="18">
        <v>1465292.21</v>
      </c>
      <c r="I541" s="18"/>
      <c r="J541" s="18"/>
      <c r="K541" s="18"/>
      <c r="L541" s="88">
        <f>SUM(F541:K541)</f>
        <v>1483081.49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6667.35</v>
      </c>
      <c r="G542" s="18">
        <v>2582.37</v>
      </c>
      <c r="H542" s="18">
        <v>761886.14</v>
      </c>
      <c r="I542" s="18"/>
      <c r="J542" s="18"/>
      <c r="K542" s="18"/>
      <c r="L542" s="88">
        <f>SUM(F542:K542)</f>
        <v>771135.86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8749.84</v>
      </c>
      <c r="G543" s="18">
        <v>3388.95</v>
      </c>
      <c r="H543" s="18">
        <v>999882.9</v>
      </c>
      <c r="I543" s="18"/>
      <c r="J543" s="18"/>
      <c r="K543" s="18"/>
      <c r="L543" s="88">
        <f>SUM(F543:K543)</f>
        <v>1012021.6900000001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28239.99</v>
      </c>
      <c r="G544" s="193">
        <f t="shared" ref="G544:L544" si="40">SUM(G541:G543)</f>
        <v>10937.8</v>
      </c>
      <c r="H544" s="193">
        <f t="shared" si="40"/>
        <v>3227061.25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3266239.04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20147532.969999995</v>
      </c>
      <c r="G545" s="89">
        <f t="shared" ref="G545:L545" si="41">G524+G529+G534+G539+G544</f>
        <v>11432185.520000001</v>
      </c>
      <c r="H545" s="89">
        <f t="shared" si="41"/>
        <v>14944398.939999998</v>
      </c>
      <c r="I545" s="89">
        <f t="shared" si="41"/>
        <v>92601.03</v>
      </c>
      <c r="J545" s="89">
        <f t="shared" si="41"/>
        <v>16270.1</v>
      </c>
      <c r="K545" s="89">
        <f t="shared" si="41"/>
        <v>1152.8499999999999</v>
      </c>
      <c r="L545" s="89">
        <f t="shared" si="41"/>
        <v>46634141.409999989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15936524.639999999</v>
      </c>
      <c r="G549" s="87">
        <f>L526</f>
        <v>3988033.55</v>
      </c>
      <c r="H549" s="87">
        <f>L531</f>
        <v>108002.57999999999</v>
      </c>
      <c r="I549" s="87">
        <f>L536</f>
        <v>23329.41</v>
      </c>
      <c r="J549" s="87">
        <f>L541</f>
        <v>1483081.49</v>
      </c>
      <c r="K549" s="87">
        <f>SUM(F549:J549)</f>
        <v>21538971.669999994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10017455.079999998</v>
      </c>
      <c r="G550" s="87">
        <f>L527</f>
        <v>847700.31999999983</v>
      </c>
      <c r="H550" s="87">
        <f>L532</f>
        <v>2148.9899999999998</v>
      </c>
      <c r="I550" s="87">
        <f>L537</f>
        <v>13608.83</v>
      </c>
      <c r="J550" s="87">
        <f>L542</f>
        <v>771135.86</v>
      </c>
      <c r="K550" s="87">
        <f>SUM(F550:J550)</f>
        <v>11652049.079999998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11184506.16</v>
      </c>
      <c r="G551" s="87">
        <f>L528</f>
        <v>1217245.1500000001</v>
      </c>
      <c r="H551" s="87">
        <f>L533</f>
        <v>1481.97</v>
      </c>
      <c r="I551" s="87">
        <f>L538</f>
        <v>27865.69</v>
      </c>
      <c r="J551" s="87">
        <f>L543</f>
        <v>1012021.6900000001</v>
      </c>
      <c r="K551" s="87">
        <f>SUM(F551:J551)</f>
        <v>13443120.66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37138485.879999995</v>
      </c>
      <c r="G552" s="89">
        <f t="shared" si="42"/>
        <v>6052979.0199999996</v>
      </c>
      <c r="H552" s="89">
        <f t="shared" si="42"/>
        <v>111633.54</v>
      </c>
      <c r="I552" s="89">
        <f t="shared" si="42"/>
        <v>64803.929999999993</v>
      </c>
      <c r="J552" s="89">
        <f t="shared" si="42"/>
        <v>3266239.04</v>
      </c>
      <c r="K552" s="89">
        <f t="shared" si="42"/>
        <v>46634141.409999996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f>411815.19+3201187.35</f>
        <v>3613002.54</v>
      </c>
      <c r="G557" s="18">
        <f>212255.49+1238227.43</f>
        <v>1450482.92</v>
      </c>
      <c r="H557" s="18">
        <f>416242.91+337731.24+3049.75+270.83+34633.61</f>
        <v>791928.33999999985</v>
      </c>
      <c r="I557" s="18">
        <f>178139.73+184275.25+287253.85</f>
        <v>649668.82999999996</v>
      </c>
      <c r="J557" s="18">
        <f>8168.54+219393.46+40782.56</f>
        <v>268344.56</v>
      </c>
      <c r="K557" s="18"/>
      <c r="L557" s="88">
        <f>SUM(F557:K557)</f>
        <v>6773427.1899999995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f>17257.89+79847.93</f>
        <v>97105.819999999992</v>
      </c>
      <c r="G558" s="18">
        <f>8894.97+37949.88</f>
        <v>46844.85</v>
      </c>
      <c r="H558" s="18">
        <f>17443.45+41600.83+152-787.93</f>
        <v>58408.35</v>
      </c>
      <c r="I558" s="18">
        <f>7465.28+3306.55+25448.84</f>
        <v>36220.67</v>
      </c>
      <c r="J558" s="18">
        <f>342.32+44931.26</f>
        <v>45273.58</v>
      </c>
      <c r="K558" s="18"/>
      <c r="L558" s="88">
        <f>SUM(F558:K558)</f>
        <v>283853.27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>
        <f>3229.59+35215.64</f>
        <v>38445.229999999996</v>
      </c>
      <c r="G559" s="18">
        <f>1664.58+8284.26</f>
        <v>9948.84</v>
      </c>
      <c r="H559" s="18">
        <f>3264.32</f>
        <v>3264.32</v>
      </c>
      <c r="I559" s="18">
        <f>1397.03</f>
        <v>1397.03</v>
      </c>
      <c r="J559" s="18">
        <f>64.06</f>
        <v>64.06</v>
      </c>
      <c r="K559" s="18"/>
      <c r="L559" s="88">
        <f>SUM(F559:K559)</f>
        <v>53119.479999999989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3748553.59</v>
      </c>
      <c r="G560" s="108">
        <f t="shared" si="43"/>
        <v>1507276.61</v>
      </c>
      <c r="H560" s="108">
        <f t="shared" si="43"/>
        <v>853601.00999999978</v>
      </c>
      <c r="I560" s="108">
        <f t="shared" si="43"/>
        <v>687286.53</v>
      </c>
      <c r="J560" s="108">
        <f t="shared" si="43"/>
        <v>313682.2</v>
      </c>
      <c r="K560" s="108">
        <f t="shared" si="43"/>
        <v>0</v>
      </c>
      <c r="L560" s="89">
        <f t="shared" si="43"/>
        <v>7110399.9399999995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f>96132.14+1882610.6</f>
        <v>1978742.74</v>
      </c>
      <c r="G562" s="18">
        <f>42318.73+989452.67</f>
        <v>1031771.4</v>
      </c>
      <c r="H562" s="18">
        <f>11024.15+25325.01+1549.25+3477.12</f>
        <v>41375.53</v>
      </c>
      <c r="I562" s="18">
        <f>977+7085.76+64420.36</f>
        <v>72483.12</v>
      </c>
      <c r="J562" s="18">
        <f>1180.73+24215.29</f>
        <v>25396.02</v>
      </c>
      <c r="K562" s="18"/>
      <c r="L562" s="88">
        <f>SUM(F562:K562)</f>
        <v>3149768.81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f>38795.03+752353.77</f>
        <v>791148.8</v>
      </c>
      <c r="G563" s="18">
        <f>17078.12+405801.18</f>
        <v>422879.3</v>
      </c>
      <c r="H563" s="18">
        <f>4448.9+18918.59+6806</f>
        <v>30173.489999999998</v>
      </c>
      <c r="I563" s="18">
        <f>394.28+1706.81+8696.67</f>
        <v>10797.76</v>
      </c>
      <c r="J563" s="18">
        <f>476.49+15643</f>
        <v>16119.49</v>
      </c>
      <c r="K563" s="18"/>
      <c r="L563" s="88">
        <f>SUM(F563:K563)</f>
        <v>1271118.8400000001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f>36375.93+737051.02+0.01</f>
        <v>773426.96000000008</v>
      </c>
      <c r="G564" s="18">
        <f>16013.2+352294.34</f>
        <v>368307.54000000004</v>
      </c>
      <c r="H564" s="18">
        <f>4171.48+4905.78+76+323.14</f>
        <v>9476.3999999999978</v>
      </c>
      <c r="I564" s="18">
        <f>369.69+4121.64+5760.67</f>
        <v>10252</v>
      </c>
      <c r="J564" s="18">
        <f>446.78+27987.29+1960.22</f>
        <v>30394.29</v>
      </c>
      <c r="K564" s="18"/>
      <c r="L564" s="88">
        <f>SUM(F564:K564)</f>
        <v>1191857.19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3543318.5</v>
      </c>
      <c r="G565" s="89">
        <f t="shared" si="44"/>
        <v>1822958.24</v>
      </c>
      <c r="H565" s="89">
        <f t="shared" si="44"/>
        <v>81025.419999999984</v>
      </c>
      <c r="I565" s="89">
        <f t="shared" si="44"/>
        <v>93532.87999999999</v>
      </c>
      <c r="J565" s="89">
        <f t="shared" si="44"/>
        <v>71909.8</v>
      </c>
      <c r="K565" s="89">
        <f t="shared" si="44"/>
        <v>0</v>
      </c>
      <c r="L565" s="89">
        <f t="shared" si="44"/>
        <v>5612744.8399999999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7291872.0899999999</v>
      </c>
      <c r="G571" s="89">
        <f t="shared" ref="G571:L571" si="46">G560+G565+G570</f>
        <v>3330234.85</v>
      </c>
      <c r="H571" s="89">
        <f t="shared" si="46"/>
        <v>934626.4299999997</v>
      </c>
      <c r="I571" s="89">
        <f t="shared" si="46"/>
        <v>780819.41</v>
      </c>
      <c r="J571" s="89">
        <f t="shared" si="46"/>
        <v>385592</v>
      </c>
      <c r="K571" s="89">
        <f t="shared" si="46"/>
        <v>0</v>
      </c>
      <c r="L571" s="89">
        <f t="shared" si="46"/>
        <v>12723144.779999999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399254.84</v>
      </c>
      <c r="G579" s="18">
        <v>659137.39</v>
      </c>
      <c r="H579" s="18">
        <v>1530715.11</v>
      </c>
      <c r="I579" s="87">
        <f t="shared" si="47"/>
        <v>2589107.34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771053.56</v>
      </c>
      <c r="G580" s="18">
        <v>86708.160000000003</v>
      </c>
      <c r="H580" s="18"/>
      <c r="I580" s="87">
        <f t="shared" si="47"/>
        <v>857761.72000000009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1594624.52</v>
      </c>
      <c r="H582" s="18">
        <v>2644524.73</v>
      </c>
      <c r="I582" s="87">
        <f t="shared" si="47"/>
        <v>4239149.25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10263.49+3975.22+1172833.77-0.01</f>
        <v>1187072.47</v>
      </c>
      <c r="I591" s="18">
        <f>10265.9+3976.15+1173097.65</f>
        <v>1187339.7</v>
      </c>
      <c r="J591" s="18">
        <f>1275.07+493.85+145707.59</f>
        <v>147476.51</v>
      </c>
      <c r="K591" s="104">
        <f t="shared" ref="K591:K597" si="48">SUM(H591:J591)</f>
        <v>2521888.6799999997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12822.8+4966.48+1465292.21-0.01</f>
        <v>1483081.48</v>
      </c>
      <c r="I592" s="18">
        <f>6667.35+2582.37+761886.14</f>
        <v>771135.86</v>
      </c>
      <c r="J592" s="18">
        <f>8749.84+3388.95+999882.9</f>
        <v>1012021.6900000001</v>
      </c>
      <c r="K592" s="104">
        <f t="shared" si="48"/>
        <v>3266239.03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19527.939999999999</v>
      </c>
      <c r="J594" s="18">
        <v>95605.37</v>
      </c>
      <c r="K594" s="104">
        <f t="shared" si="48"/>
        <v>115133.31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3224.48</v>
      </c>
      <c r="I595" s="18">
        <v>2365.08</v>
      </c>
      <c r="J595" s="18">
        <f>1400.19+4164.17</f>
        <v>5564.3600000000006</v>
      </c>
      <c r="K595" s="104">
        <f t="shared" si="48"/>
        <v>11153.92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2673378.4300000002</v>
      </c>
      <c r="I598" s="108">
        <f>SUM(I591:I597)</f>
        <v>1980368.58</v>
      </c>
      <c r="J598" s="108">
        <f>SUM(J591:J597)</f>
        <v>1260667.9300000004</v>
      </c>
      <c r="K598" s="108">
        <f>SUM(K591:K597)</f>
        <v>5914414.9399999985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387757.95+14214.24</f>
        <v>401972.19</v>
      </c>
      <c r="I604" s="18">
        <f>133771.6+8291.64</f>
        <v>142063.24</v>
      </c>
      <c r="J604" s="18">
        <f>373626.41+7153.19+16978.12</f>
        <v>397757.72</v>
      </c>
      <c r="K604" s="104">
        <f>SUM(H604:J604)</f>
        <v>941793.14999999991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401972.19</v>
      </c>
      <c r="I605" s="108">
        <f>SUM(I602:I604)</f>
        <v>142063.24</v>
      </c>
      <c r="J605" s="108">
        <f>SUM(J602:J604)</f>
        <v>397757.72</v>
      </c>
      <c r="K605" s="108">
        <f>SUM(K602:K604)</f>
        <v>941793.14999999991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113609.66</v>
      </c>
      <c r="G611" s="18">
        <v>24704.27</v>
      </c>
      <c r="H611" s="18">
        <f>13782.32+134813.94</f>
        <v>148596.26</v>
      </c>
      <c r="I611" s="18">
        <v>375.58</v>
      </c>
      <c r="J611" s="18"/>
      <c r="K611" s="18"/>
      <c r="L611" s="88">
        <f>SUM(F611:K611)</f>
        <v>287285.77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49150.55</f>
        <v>49150.55</v>
      </c>
      <c r="G612" s="18">
        <v>10850.13</v>
      </c>
      <c r="H612" s="18">
        <f>5171.13+46411.36</f>
        <v>51582.49</v>
      </c>
      <c r="I612" s="18">
        <v>129.30000000000001</v>
      </c>
      <c r="J612" s="18"/>
      <c r="K612" s="18"/>
      <c r="L612" s="88">
        <f>SUM(F612:K612)</f>
        <v>111712.47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42923.91</v>
      </c>
      <c r="G613" s="18">
        <v>9479.64</v>
      </c>
      <c r="H613" s="18">
        <f>4460.51+39781.16</f>
        <v>44241.670000000006</v>
      </c>
      <c r="I613" s="18">
        <v>110.83</v>
      </c>
      <c r="J613" s="18"/>
      <c r="K613" s="18"/>
      <c r="L613" s="88">
        <f>SUM(F613:K613)</f>
        <v>96756.05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205684.12000000002</v>
      </c>
      <c r="G614" s="108">
        <f t="shared" si="49"/>
        <v>45034.04</v>
      </c>
      <c r="H614" s="108">
        <f t="shared" si="49"/>
        <v>244420.42</v>
      </c>
      <c r="I614" s="108">
        <f t="shared" si="49"/>
        <v>615.71</v>
      </c>
      <c r="J614" s="108">
        <f t="shared" si="49"/>
        <v>0</v>
      </c>
      <c r="K614" s="108">
        <f t="shared" si="49"/>
        <v>0</v>
      </c>
      <c r="L614" s="89">
        <f t="shared" si="49"/>
        <v>495754.29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43830056.57</v>
      </c>
      <c r="H617" s="109">
        <f>SUM(F52)</f>
        <v>43830056.570000008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474682.16</v>
      </c>
      <c r="H618" s="109">
        <f>SUM(G52)</f>
        <v>474682.16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3446414.46</v>
      </c>
      <c r="H619" s="109">
        <f>SUM(H52)</f>
        <v>3446414.46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1216879.96</v>
      </c>
      <c r="H621" s="109">
        <f>SUM(J52)</f>
        <v>1216879.96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749160.91999999993</v>
      </c>
      <c r="H622" s="109">
        <f>F476</f>
        <v>749160.92000001669</v>
      </c>
      <c r="I622" s="121" t="s">
        <v>101</v>
      </c>
      <c r="J622" s="109">
        <f t="shared" ref="J622:J655" si="50">G622-H622</f>
        <v>-1.6763806343078613E-8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338630.1</v>
      </c>
      <c r="H623" s="109">
        <f>G476</f>
        <v>338630.09999999963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1031648.47</v>
      </c>
      <c r="H624" s="109">
        <f>H476</f>
        <v>1031648.4699999988</v>
      </c>
      <c r="I624" s="121" t="s">
        <v>103</v>
      </c>
      <c r="J624" s="109">
        <f t="shared" si="50"/>
        <v>1.1641532182693481E-9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1216879.96</v>
      </c>
      <c r="H626" s="109">
        <f>J476</f>
        <v>1216879.96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164773220.40000001</v>
      </c>
      <c r="H627" s="104">
        <f>SUM(F468)</f>
        <v>164773220.40000001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5393587.96</v>
      </c>
      <c r="H628" s="104">
        <f>SUM(G468)</f>
        <v>5393587.96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19374310.229999997</v>
      </c>
      <c r="H629" s="104">
        <f>SUM(H468)</f>
        <v>19374310.23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302452.3</v>
      </c>
      <c r="H631" s="104">
        <f>SUM(J468)</f>
        <v>302452.3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165649496.10000002</v>
      </c>
      <c r="H632" s="104">
        <f>SUM(F472)</f>
        <v>165649496.09999999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19437014.890000001</v>
      </c>
      <c r="H633" s="104">
        <f>SUM(H472)</f>
        <v>19437014.890000001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2121593.2200000002</v>
      </c>
      <c r="H634" s="104">
        <f>I369</f>
        <v>2121593.2200000002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5242366.46</v>
      </c>
      <c r="H635" s="104">
        <f>SUM(G472)</f>
        <v>5242366.46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302452.3</v>
      </c>
      <c r="H637" s="164">
        <f>SUM(J468)</f>
        <v>302452.3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1216879.96</v>
      </c>
      <c r="H640" s="104">
        <f>SUM(G461)</f>
        <v>1216879.96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1216879.96</v>
      </c>
      <c r="H642" s="104">
        <f>SUM(I461)</f>
        <v>1216879.96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-30484</v>
      </c>
      <c r="H644" s="104">
        <f>H408</f>
        <v>-30484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332936.3</v>
      </c>
      <c r="H645" s="104">
        <f>G408</f>
        <v>332936.3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302452.3</v>
      </c>
      <c r="H646" s="104">
        <f>L408</f>
        <v>302452.3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5914414.9399999985</v>
      </c>
      <c r="H647" s="104">
        <f>L208+L226+L244</f>
        <v>5914414.9399999995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941793.14999999991</v>
      </c>
      <c r="H648" s="104">
        <f>(J257+J338)-(J255+J336)</f>
        <v>941793.15000000014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2673378.4300000002</v>
      </c>
      <c r="H649" s="104">
        <f>H598</f>
        <v>2673378.4300000002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1980368.58</v>
      </c>
      <c r="H650" s="104">
        <f>I598</f>
        <v>1980368.58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1260667.93</v>
      </c>
      <c r="H651" s="104">
        <f>J598</f>
        <v>1260667.9300000004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332936.3</v>
      </c>
      <c r="H655" s="104">
        <f>K266+K347</f>
        <v>332936.3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78273251.829999998</v>
      </c>
      <c r="G660" s="19">
        <f>(L229+L309+L359)</f>
        <v>40111026.669999994</v>
      </c>
      <c r="H660" s="19">
        <f>(L247+L328+L360)</f>
        <v>57148330.660000011</v>
      </c>
      <c r="I660" s="19">
        <f>SUM(F660:H660)</f>
        <v>175532609.16000003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454811.54172714532</v>
      </c>
      <c r="G661" s="19">
        <f>(L359/IF(SUM(L358:L360)=0,1,SUM(L358:L360))*(SUM(G97:G110)))</f>
        <v>258286.30471819939</v>
      </c>
      <c r="H661" s="19">
        <f>(L360/IF(SUM(L358:L360)=0,1,SUM(L358:L360))*(SUM(G97:G110)))</f>
        <v>254836.51355465522</v>
      </c>
      <c r="I661" s="19">
        <f>SUM(F661:H661)</f>
        <v>967934.36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2673378.4300000002</v>
      </c>
      <c r="G662" s="19">
        <f>(L226+L306)-(J226+J306)</f>
        <v>1980368.58</v>
      </c>
      <c r="H662" s="19">
        <f>(L244+L325)-(J244+J325)</f>
        <v>1260667.93</v>
      </c>
      <c r="I662" s="19">
        <f>SUM(F662:H662)</f>
        <v>5914414.9399999995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1859566.36</v>
      </c>
      <c r="G663" s="199">
        <f>SUM(G575:G587)+SUM(I602:I604)+L612</f>
        <v>2594245.7800000007</v>
      </c>
      <c r="H663" s="199">
        <f>SUM(H575:H587)+SUM(J602:J604)+L613</f>
        <v>4669753.6099999994</v>
      </c>
      <c r="I663" s="19">
        <f>SUM(F663:H663)</f>
        <v>9123565.75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73285495.498272851</v>
      </c>
      <c r="G664" s="19">
        <f>G660-SUM(G661:G663)</f>
        <v>35278126.005281791</v>
      </c>
      <c r="H664" s="19">
        <f>H660-SUM(H661:H663)</f>
        <v>50963072.606445357</v>
      </c>
      <c r="I664" s="19">
        <f>I660-SUM(I661:I663)</f>
        <v>159526694.11000001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6542.75</v>
      </c>
      <c r="G665" s="248">
        <v>2944.32</v>
      </c>
      <c r="H665" s="248">
        <v>4088.8</v>
      </c>
      <c r="I665" s="19">
        <f>SUM(F665:H665)</f>
        <v>13575.869999999999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11201.02</v>
      </c>
      <c r="G667" s="19">
        <f>ROUND(G664/G665,2)</f>
        <v>11981.76</v>
      </c>
      <c r="H667" s="19">
        <f>ROUND(H664/H665,2)</f>
        <v>12464.07</v>
      </c>
      <c r="I667" s="19">
        <f>ROUND(I664/I665,2)</f>
        <v>11750.75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62.89</v>
      </c>
      <c r="I670" s="19">
        <f>SUM(F670:H670)</f>
        <v>62.89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11201.02</v>
      </c>
      <c r="G672" s="19">
        <f>ROUND((G664+G669)/(G665+G670),2)</f>
        <v>11981.76</v>
      </c>
      <c r="H672" s="19">
        <f>ROUND((H664+H669)/(H665+H670),2)</f>
        <v>12275.26</v>
      </c>
      <c r="I672" s="19">
        <f>ROUND((I664+I669)/(I665+I670),2)</f>
        <v>11696.57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Manchester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46477860.030000001</v>
      </c>
      <c r="C9" s="229">
        <f>'DOE25'!G197+'DOE25'!G215+'DOE25'!G233+'DOE25'!G276+'DOE25'!G295+'DOE25'!G314</f>
        <v>20254347.990000006</v>
      </c>
    </row>
    <row r="10" spans="1:3" x14ac:dyDescent="0.2">
      <c r="A10" t="s">
        <v>778</v>
      </c>
      <c r="B10" s="240">
        <f>43690945.46+66304.94</f>
        <v>43757250.399999999</v>
      </c>
      <c r="C10" s="240">
        <v>19133087.109999999</v>
      </c>
    </row>
    <row r="11" spans="1:3" x14ac:dyDescent="0.2">
      <c r="A11" t="s">
        <v>779</v>
      </c>
      <c r="B11" s="240">
        <v>31857.97</v>
      </c>
      <c r="C11" s="240">
        <v>12152.6</v>
      </c>
    </row>
    <row r="12" spans="1:3" x14ac:dyDescent="0.2">
      <c r="A12" t="s">
        <v>780</v>
      </c>
      <c r="B12" s="240">
        <v>2688751.66</v>
      </c>
      <c r="C12" s="240">
        <v>1109108.28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46477860.030000001</v>
      </c>
      <c r="C13" s="231">
        <f>SUM(C10:C12)</f>
        <v>20254347.990000002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24342919.240000002</v>
      </c>
      <c r="C18" s="229">
        <f>'DOE25'!G198+'DOE25'!G216+'DOE25'!G234+'DOE25'!G277+'DOE25'!G296+'DOE25'!G315</f>
        <v>13346230.74</v>
      </c>
    </row>
    <row r="19" spans="1:3" x14ac:dyDescent="0.2">
      <c r="A19" t="s">
        <v>778</v>
      </c>
      <c r="B19" s="240">
        <f>8896644.53+70775.12+1372942.76+1347623.17+57977.42+3050731.3+2964543.85+149997</f>
        <v>17911235.149999999</v>
      </c>
      <c r="C19" s="240">
        <v>9818821.9499999993</v>
      </c>
    </row>
    <row r="20" spans="1:3" x14ac:dyDescent="0.2">
      <c r="A20" t="s">
        <v>779</v>
      </c>
      <c r="B20" s="240">
        <v>4689422.29</v>
      </c>
      <c r="C20" s="240">
        <v>2570484.04</v>
      </c>
    </row>
    <row r="21" spans="1:3" x14ac:dyDescent="0.2">
      <c r="A21" t="s">
        <v>780</v>
      </c>
      <c r="B21" s="240">
        <v>1742261.8</v>
      </c>
      <c r="C21" s="240">
        <v>956924.75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24342919.239999998</v>
      </c>
      <c r="C22" s="231">
        <f>SUM(C19:C21)</f>
        <v>13346230.739999998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2406953.2999999998</v>
      </c>
      <c r="C27" s="234">
        <f>'DOE25'!G199+'DOE25'!G217+'DOE25'!G235+'DOE25'!G278+'DOE25'!G297+'DOE25'!G316</f>
        <v>1185487.72</v>
      </c>
    </row>
    <row r="28" spans="1:3" x14ac:dyDescent="0.2">
      <c r="A28" t="s">
        <v>778</v>
      </c>
      <c r="B28" s="240">
        <f>115626.68+251515.92+207855.18+210371.61+329691.06+771934.06+464817.37</f>
        <v>2351811.88</v>
      </c>
      <c r="C28" s="240">
        <v>1158221.5</v>
      </c>
    </row>
    <row r="29" spans="1:3" x14ac:dyDescent="0.2">
      <c r="A29" t="s">
        <v>779</v>
      </c>
      <c r="B29" s="240">
        <v>0</v>
      </c>
      <c r="C29" s="240"/>
    </row>
    <row r="30" spans="1:3" x14ac:dyDescent="0.2">
      <c r="A30" t="s">
        <v>780</v>
      </c>
      <c r="B30" s="240">
        <v>55141.42</v>
      </c>
      <c r="C30" s="240">
        <v>27266.22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2406953.2999999998</v>
      </c>
      <c r="C31" s="231">
        <f>SUM(C28:C30)</f>
        <v>1185487.72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1601856.92</v>
      </c>
      <c r="C36" s="235">
        <f>'DOE25'!G200+'DOE25'!G218+'DOE25'!G236+'DOE25'!G279+'DOE25'!G298+'DOE25'!G317</f>
        <v>357813.44</v>
      </c>
    </row>
    <row r="37" spans="1:3" x14ac:dyDescent="0.2">
      <c r="A37" t="s">
        <v>778</v>
      </c>
      <c r="B37" s="240">
        <v>0</v>
      </c>
      <c r="C37" s="240">
        <v>0</v>
      </c>
    </row>
    <row r="38" spans="1:3" x14ac:dyDescent="0.2">
      <c r="A38" t="s">
        <v>779</v>
      </c>
      <c r="B38" s="240">
        <v>0</v>
      </c>
      <c r="C38" s="240">
        <v>0</v>
      </c>
    </row>
    <row r="39" spans="1:3" x14ac:dyDescent="0.2">
      <c r="A39" t="s">
        <v>780</v>
      </c>
      <c r="B39" s="240">
        <v>1601856.92</v>
      </c>
      <c r="C39" s="240">
        <v>357813.44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1601856.92</v>
      </c>
      <c r="C40" s="231">
        <f>SUM(C37:C39)</f>
        <v>357813.44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Manchester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107293197.09</v>
      </c>
      <c r="D5" s="20">
        <f>SUM('DOE25'!L197:L200)+SUM('DOE25'!L215:L218)+SUM('DOE25'!L233:L236)-F5-G5</f>
        <v>106846657.22000001</v>
      </c>
      <c r="E5" s="243"/>
      <c r="F5" s="255">
        <f>SUM('DOE25'!J197:J200)+SUM('DOE25'!J215:J218)+SUM('DOE25'!J233:J236)</f>
        <v>80223.13</v>
      </c>
      <c r="G5" s="53">
        <f>SUM('DOE25'!K197:K200)+SUM('DOE25'!K215:K218)+SUM('DOE25'!K233:K236)</f>
        <v>366316.74</v>
      </c>
      <c r="H5" s="259"/>
    </row>
    <row r="6" spans="1:9" x14ac:dyDescent="0.2">
      <c r="A6" s="32">
        <v>2100</v>
      </c>
      <c r="B6" t="s">
        <v>800</v>
      </c>
      <c r="C6" s="245">
        <f t="shared" si="0"/>
        <v>12008305.440000001</v>
      </c>
      <c r="D6" s="20">
        <f>'DOE25'!L202+'DOE25'!L220+'DOE25'!L238-F6-G6</f>
        <v>12008305.440000001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2413835.34</v>
      </c>
      <c r="D7" s="20">
        <f>'DOE25'!L203+'DOE25'!L221+'DOE25'!L239-F7-G7</f>
        <v>2413835.34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556594.76000000013</v>
      </c>
      <c r="D8" s="243"/>
      <c r="E8" s="20">
        <f>'DOE25'!L204+'DOE25'!L222+'DOE25'!L240-F8-G8-D9-D11</f>
        <v>554017.45000000007</v>
      </c>
      <c r="F8" s="255">
        <f>'DOE25'!J204+'DOE25'!J222+'DOE25'!J240</f>
        <v>0</v>
      </c>
      <c r="G8" s="53">
        <f>'DOE25'!K204+'DOE25'!K222+'DOE25'!K240</f>
        <v>2577.3100000000004</v>
      </c>
      <c r="H8" s="259"/>
    </row>
    <row r="9" spans="1:9" x14ac:dyDescent="0.2">
      <c r="A9" s="32">
        <v>2310</v>
      </c>
      <c r="B9" t="s">
        <v>817</v>
      </c>
      <c r="C9" s="245">
        <f t="shared" si="0"/>
        <v>571139.56000000006</v>
      </c>
      <c r="D9" s="244">
        <v>571139.56000000006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80000</v>
      </c>
      <c r="D10" s="243"/>
      <c r="E10" s="244">
        <v>80000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705086.67</v>
      </c>
      <c r="D11" s="244">
        <v>705086.67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9997202.3000000007</v>
      </c>
      <c r="D12" s="20">
        <f>'DOE25'!L205+'DOE25'!L223+'DOE25'!L241-F12-G12</f>
        <v>9952814.9300000016</v>
      </c>
      <c r="E12" s="243"/>
      <c r="F12" s="255">
        <f>'DOE25'!J205+'DOE25'!J223+'DOE25'!J241</f>
        <v>0</v>
      </c>
      <c r="G12" s="53">
        <f>'DOE25'!K205+'DOE25'!K223+'DOE25'!K241</f>
        <v>44387.369999999995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1345691.9099999997</v>
      </c>
      <c r="D13" s="243"/>
      <c r="E13" s="20">
        <f>'DOE25'!L206+'DOE25'!L224+'DOE25'!L242-F13-G13</f>
        <v>1345691.9099999997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9363225.379999999</v>
      </c>
      <c r="D14" s="20">
        <f>'DOE25'!L207+'DOE25'!L225+'DOE25'!L243-F14-G14</f>
        <v>9335079.6799999997</v>
      </c>
      <c r="E14" s="243"/>
      <c r="F14" s="255">
        <f>'DOE25'!J207+'DOE25'!J225+'DOE25'!J243</f>
        <v>27920.7</v>
      </c>
      <c r="G14" s="53">
        <f>'DOE25'!K207+'DOE25'!K225+'DOE25'!K243</f>
        <v>225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5914414.9399999995</v>
      </c>
      <c r="D15" s="20">
        <f>'DOE25'!L208+'DOE25'!L226+'DOE25'!L244-F15-G15</f>
        <v>5914414.9399999995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1784254.45</v>
      </c>
      <c r="D16" s="243"/>
      <c r="E16" s="20">
        <f>'DOE25'!L209+'DOE25'!L227+'DOE25'!L245-F16-G16</f>
        <v>1728791.6099999999</v>
      </c>
      <c r="F16" s="255">
        <f>'DOE25'!J209+'DOE25'!J227+'DOE25'!J245</f>
        <v>55387.839999999997</v>
      </c>
      <c r="G16" s="53">
        <f>'DOE25'!K209+'DOE25'!K227+'DOE25'!K245</f>
        <v>75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4509.8</v>
      </c>
      <c r="D17" s="20">
        <f>'DOE25'!L251-F17-G17</f>
        <v>4509.8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338098.92</v>
      </c>
      <c r="D22" s="243"/>
      <c r="E22" s="243"/>
      <c r="F22" s="255">
        <f>'DOE25'!L255+'DOE25'!L336</f>
        <v>338098.92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12752614.370000001</v>
      </c>
      <c r="D25" s="243"/>
      <c r="E25" s="243"/>
      <c r="F25" s="258"/>
      <c r="G25" s="256"/>
      <c r="H25" s="257">
        <f>'DOE25'!L260+'DOE25'!L261+'DOE25'!L341+'DOE25'!L342</f>
        <v>12752614.370000001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3337117.15</v>
      </c>
      <c r="D29" s="20">
        <f>'DOE25'!L358+'DOE25'!L359+'DOE25'!L360-'DOE25'!I367-F29-G29</f>
        <v>3287117.15</v>
      </c>
      <c r="E29" s="243"/>
      <c r="F29" s="255">
        <f>'DOE25'!J358+'DOE25'!J359+'DOE25'!J360</f>
        <v>0</v>
      </c>
      <c r="G29" s="53">
        <f>'DOE25'!K358+'DOE25'!K359+'DOE25'!K360</f>
        <v>50000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18843651.25</v>
      </c>
      <c r="D31" s="20">
        <f>'DOE25'!L290+'DOE25'!L309+'DOE25'!L328+'DOE25'!L333+'DOE25'!L334+'DOE25'!L335-F31-G31</f>
        <v>17956029.719999999</v>
      </c>
      <c r="E31" s="243"/>
      <c r="F31" s="255">
        <f>'DOE25'!J290+'DOE25'!J309+'DOE25'!J328+'DOE25'!J333+'DOE25'!J334+'DOE25'!J335</f>
        <v>778261.4800000001</v>
      </c>
      <c r="G31" s="53">
        <f>'DOE25'!K290+'DOE25'!K309+'DOE25'!K328+'DOE25'!K333+'DOE25'!K334+'DOE25'!K335</f>
        <v>109360.05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168994990.45000005</v>
      </c>
      <c r="E33" s="246">
        <f>SUM(E5:E31)</f>
        <v>3708500.9699999997</v>
      </c>
      <c r="F33" s="246">
        <f>SUM(F5:F31)</f>
        <v>1279892.07</v>
      </c>
      <c r="G33" s="246">
        <f>SUM(G5:G31)</f>
        <v>572941.47</v>
      </c>
      <c r="H33" s="246">
        <f>SUM(H5:H31)</f>
        <v>12752614.370000001</v>
      </c>
    </row>
    <row r="35" spans="2:8" ht="12" thickBot="1" x14ac:dyDescent="0.25">
      <c r="B35" s="253" t="s">
        <v>846</v>
      </c>
      <c r="D35" s="254">
        <f>E33</f>
        <v>3708500.9699999997</v>
      </c>
      <c r="E35" s="249"/>
    </row>
    <row r="36" spans="2:8" ht="12" thickTop="1" x14ac:dyDescent="0.2">
      <c r="B36" t="s">
        <v>814</v>
      </c>
      <c r="D36" s="20">
        <f>D33</f>
        <v>168994990.45000005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84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Manchester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7785505.4699999997</v>
      </c>
      <c r="D8" s="95">
        <f>'DOE25'!G9</f>
        <v>157547.41</v>
      </c>
      <c r="E8" s="95">
        <f>'DOE25'!H9</f>
        <v>1400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1298135.24</v>
      </c>
      <c r="D11" s="95">
        <f>'DOE25'!G12</f>
        <v>90170.94</v>
      </c>
      <c r="E11" s="95">
        <f>'DOE25'!H12</f>
        <v>0</v>
      </c>
      <c r="F11" s="95">
        <f>'DOE25'!I12</f>
        <v>0</v>
      </c>
      <c r="G11" s="95">
        <f>'DOE25'!J12</f>
        <v>332936.3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34140310.780000001</v>
      </c>
      <c r="D12" s="95">
        <f>'DOE25'!G13</f>
        <v>196273.4</v>
      </c>
      <c r="E12" s="95">
        <f>'DOE25'!H13</f>
        <v>17853.37</v>
      </c>
      <c r="F12" s="95">
        <f>'DOE25'!I13</f>
        <v>0</v>
      </c>
      <c r="G12" s="95">
        <f>'DOE25'!J13</f>
        <v>883943.66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585788.4</v>
      </c>
      <c r="D13" s="95">
        <f>'DOE25'!G14</f>
        <v>6175.22</v>
      </c>
      <c r="E13" s="95">
        <f>'DOE25'!H14</f>
        <v>3426588.34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24515.19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20316.68</v>
      </c>
      <c r="D16" s="95">
        <f>'DOE25'!G17</f>
        <v>0</v>
      </c>
      <c r="E16" s="95">
        <f>'DOE25'!H17</f>
        <v>572.75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43830056.57</v>
      </c>
      <c r="D18" s="41">
        <f>SUM(D8:D17)</f>
        <v>474682.16</v>
      </c>
      <c r="E18" s="41">
        <f>SUM(E8:E17)</f>
        <v>3446414.46</v>
      </c>
      <c r="F18" s="41">
        <f>SUM(F8:F17)</f>
        <v>0</v>
      </c>
      <c r="G18" s="41">
        <f>SUM(G8:G17)</f>
        <v>1216879.96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1721242.48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1137766.95</v>
      </c>
      <c r="D23" s="95">
        <f>'DOE25'!G24</f>
        <v>38408.79</v>
      </c>
      <c r="E23" s="95">
        <f>'DOE25'!H24</f>
        <v>254405.42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3340965.74</v>
      </c>
      <c r="D27" s="95">
        <f>'DOE25'!G28</f>
        <v>44050.41</v>
      </c>
      <c r="E27" s="95">
        <f>'DOE25'!H28</f>
        <v>432456.04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3145777.26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35456385.700000003</v>
      </c>
      <c r="D29" s="95">
        <f>'DOE25'!G30</f>
        <v>53592.86</v>
      </c>
      <c r="E29" s="95">
        <f>'DOE25'!H30</f>
        <v>6662.05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43080895.650000006</v>
      </c>
      <c r="D31" s="41">
        <f>SUM(D21:D30)</f>
        <v>136052.06</v>
      </c>
      <c r="E31" s="41">
        <f>SUM(E21:E30)</f>
        <v>2414765.9899999998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24515.19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20316.68</v>
      </c>
      <c r="D35" s="95">
        <f>'DOE25'!G36</f>
        <v>0</v>
      </c>
      <c r="E35" s="95">
        <f>'DOE25'!H36</f>
        <v>572.75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314114.90999999997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441236.76</v>
      </c>
      <c r="D47" s="95">
        <f>'DOE25'!G48</f>
        <v>0</v>
      </c>
      <c r="E47" s="95">
        <f>'DOE25'!H48</f>
        <v>1031075.72</v>
      </c>
      <c r="F47" s="95">
        <f>'DOE25'!I48</f>
        <v>0</v>
      </c>
      <c r="G47" s="95">
        <f>'DOE25'!J48</f>
        <v>1216879.96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287607.48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749160.91999999993</v>
      </c>
      <c r="D50" s="41">
        <f>SUM(D34:D49)</f>
        <v>338630.1</v>
      </c>
      <c r="E50" s="41">
        <f>SUM(E34:E49)</f>
        <v>1031648.47</v>
      </c>
      <c r="F50" s="41">
        <f>SUM(F34:F49)</f>
        <v>0</v>
      </c>
      <c r="G50" s="41">
        <f>SUM(G34:G49)</f>
        <v>1216879.96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43830056.570000008</v>
      </c>
      <c r="D51" s="41">
        <f>D50+D31</f>
        <v>474682.16</v>
      </c>
      <c r="E51" s="41">
        <f>E50+E31</f>
        <v>3446414.46</v>
      </c>
      <c r="F51" s="41">
        <f>F50+F31</f>
        <v>0</v>
      </c>
      <c r="G51" s="41">
        <f>G50+G31</f>
        <v>1216879.96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76728342</v>
      </c>
      <c r="D56" s="95">
        <f>'DOE25'!G60</f>
        <v>0</v>
      </c>
      <c r="E56" s="95">
        <f>'DOE25'!H60</f>
        <v>59615.39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4767154.42</v>
      </c>
      <c r="D57" s="24" t="s">
        <v>288</v>
      </c>
      <c r="E57" s="95">
        <f>'DOE25'!H79</f>
        <v>2987225.23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209423.33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-30484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967934.36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200501.7</v>
      </c>
      <c r="D61" s="95">
        <f>SUM('DOE25'!G98:G110)</f>
        <v>0</v>
      </c>
      <c r="E61" s="95">
        <f>SUM('DOE25'!H98:H110)</f>
        <v>465618.77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5177079.45</v>
      </c>
      <c r="D62" s="130">
        <f>SUM(D57:D61)</f>
        <v>967934.36</v>
      </c>
      <c r="E62" s="130">
        <f>SUM(E57:E61)</f>
        <v>3452844</v>
      </c>
      <c r="F62" s="130">
        <f>SUM(F57:F61)</f>
        <v>0</v>
      </c>
      <c r="G62" s="130">
        <f>SUM(G57:G61)</f>
        <v>-30484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81905421.450000003</v>
      </c>
      <c r="D63" s="22">
        <f>D56+D62</f>
        <v>967934.36</v>
      </c>
      <c r="E63" s="22">
        <f>E56+E62</f>
        <v>3512459.39</v>
      </c>
      <c r="F63" s="22">
        <f>F56+F62</f>
        <v>0</v>
      </c>
      <c r="G63" s="22">
        <f>G56+G62</f>
        <v>-30484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56954983.329999998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19949783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110430.17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77015196.5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2788824.22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627125.07999999996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624643.11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81394.149999999994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4040592.41</v>
      </c>
      <c r="D78" s="130">
        <f>SUM(D72:D77)</f>
        <v>81394.149999999994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81055788.909999996</v>
      </c>
      <c r="D81" s="130">
        <f>SUM(D79:D80)+D78+D70</f>
        <v>81394.149999999994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389288.3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1577600.51</v>
      </c>
      <c r="D88" s="95">
        <f>SUM('DOE25'!G153:G161)</f>
        <v>3954971.15</v>
      </c>
      <c r="E88" s="95">
        <f>SUM('DOE25'!H153:H161)</f>
        <v>15861850.839999998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1577600.51</v>
      </c>
      <c r="D91" s="131">
        <f>SUM(D85:D90)</f>
        <v>4344259.45</v>
      </c>
      <c r="E91" s="131">
        <f>SUM(E85:E90)</f>
        <v>15861850.839999998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332936.3</v>
      </c>
    </row>
    <row r="97" spans="1:7" x14ac:dyDescent="0.2">
      <c r="A97" t="s">
        <v>757</v>
      </c>
      <c r="B97" s="32" t="s">
        <v>188</v>
      </c>
      <c r="C97" s="95">
        <f>SUM('DOE25'!F180:F181)</f>
        <v>234409.53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234409.53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332936.3</v>
      </c>
    </row>
    <row r="104" spans="1:7" ht="12.75" thickTop="1" thickBot="1" x14ac:dyDescent="0.25">
      <c r="A104" s="33" t="s">
        <v>764</v>
      </c>
      <c r="C104" s="86">
        <f>C63+C81+C91+C103</f>
        <v>164773220.40000001</v>
      </c>
      <c r="D104" s="86">
        <f>D63+D81+D91+D103</f>
        <v>5393587.96</v>
      </c>
      <c r="E104" s="86">
        <f>E63+E81+E91+E103</f>
        <v>19374310.229999997</v>
      </c>
      <c r="F104" s="86">
        <f>F63+F81+F91+F103</f>
        <v>0</v>
      </c>
      <c r="G104" s="86">
        <f>G63+G81+G103</f>
        <v>302452.3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66389756.450000003</v>
      </c>
      <c r="D109" s="24" t="s">
        <v>288</v>
      </c>
      <c r="E109" s="95">
        <f>('DOE25'!L276)+('DOE25'!L295)+('DOE25'!L314)</f>
        <v>1603353.87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35534517.93</v>
      </c>
      <c r="D110" s="24" t="s">
        <v>288</v>
      </c>
      <c r="E110" s="95">
        <f>('DOE25'!L277)+('DOE25'!L296)+('DOE25'!L315)</f>
        <v>13777454.390000001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3570950.72</v>
      </c>
      <c r="D111" s="24" t="s">
        <v>288</v>
      </c>
      <c r="E111" s="95">
        <f>('DOE25'!L278)+('DOE25'!L297)+('DOE25'!L316)</f>
        <v>409995.73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1797971.99</v>
      </c>
      <c r="D112" s="24" t="s">
        <v>288</v>
      </c>
      <c r="E112" s="95">
        <f>+('DOE25'!L279)+('DOE25'!L298)+('DOE25'!L317)</f>
        <v>950038.05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20855.189999999999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4509.8</v>
      </c>
      <c r="D114" s="24" t="s">
        <v>288</v>
      </c>
      <c r="E114" s="95">
        <f>+ SUM('DOE25'!L333:L335)</f>
        <v>506356.39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107297706.88999999</v>
      </c>
      <c r="D115" s="86">
        <f>SUM(D109:D114)</f>
        <v>0</v>
      </c>
      <c r="E115" s="86">
        <f>SUM(E109:E114)</f>
        <v>17268053.620000001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12008305.440000001</v>
      </c>
      <c r="D118" s="24" t="s">
        <v>288</v>
      </c>
      <c r="E118" s="95">
        <f>+('DOE25'!L281)+('DOE25'!L300)+('DOE25'!L319)</f>
        <v>959961.22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2413835.34</v>
      </c>
      <c r="D119" s="24" t="s">
        <v>288</v>
      </c>
      <c r="E119" s="95">
        <f>+('DOE25'!L282)+('DOE25'!L301)+('DOE25'!L320)</f>
        <v>103698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1832820.9900000002</v>
      </c>
      <c r="D120" s="24" t="s">
        <v>288</v>
      </c>
      <c r="E120" s="95">
        <f>+('DOE25'!L283)+('DOE25'!L302)+('DOE25'!L321)</f>
        <v>446391.92000000004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9997202.3000000007</v>
      </c>
      <c r="D121" s="24" t="s">
        <v>288</v>
      </c>
      <c r="E121" s="95">
        <f>+('DOE25'!L284)+('DOE25'!L303)+('DOE25'!L322)</f>
        <v>4086.29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1345691.9099999997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9363225.379999999</v>
      </c>
      <c r="D123" s="24" t="s">
        <v>288</v>
      </c>
      <c r="E123" s="95">
        <f>+('DOE25'!L286)+('DOE25'!L305)+('DOE25'!L324)</f>
        <v>24000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5914414.9399999995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1784254.45</v>
      </c>
      <c r="D125" s="24" t="s">
        <v>288</v>
      </c>
      <c r="E125" s="95">
        <f>+('DOE25'!L288)+('DOE25'!L307)+('DOE25'!L326)</f>
        <v>58315.39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5242366.46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44659750.75</v>
      </c>
      <c r="D128" s="86">
        <f>SUM(D118:D127)</f>
        <v>5242366.46</v>
      </c>
      <c r="E128" s="86">
        <f>SUM(E118:E127)</f>
        <v>1596452.82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338098.92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8075793.4500000002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4676820.92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234409.53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302452.3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30484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606487.79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13692038.460000001</v>
      </c>
      <c r="D144" s="141">
        <f>SUM(D130:D143)</f>
        <v>0</v>
      </c>
      <c r="E144" s="141">
        <f>SUM(E130:E143)</f>
        <v>572508.44999999995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165649496.09999999</v>
      </c>
      <c r="D145" s="86">
        <f>(D115+D128+D144)</f>
        <v>5242366.46</v>
      </c>
      <c r="E145" s="86">
        <f>(E115+E128+E144)</f>
        <v>19437014.890000001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Manchester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11201</v>
      </c>
    </row>
    <row r="5" spans="1:4" x14ac:dyDescent="0.2">
      <c r="B5" t="s">
        <v>703</v>
      </c>
      <c r="C5" s="179">
        <f>IF('DOE25'!G665+'DOE25'!G670=0,0,ROUND('DOE25'!G672,0))</f>
        <v>11982</v>
      </c>
    </row>
    <row r="6" spans="1:4" x14ac:dyDescent="0.2">
      <c r="B6" t="s">
        <v>62</v>
      </c>
      <c r="C6" s="179">
        <f>IF('DOE25'!H665+'DOE25'!H670=0,0,ROUND('DOE25'!H672,0))</f>
        <v>12275</v>
      </c>
    </row>
    <row r="7" spans="1:4" x14ac:dyDescent="0.2">
      <c r="B7" t="s">
        <v>704</v>
      </c>
      <c r="C7" s="179">
        <f>IF('DOE25'!I665+'DOE25'!I670=0,0,ROUND('DOE25'!I672,0))</f>
        <v>11697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67993110</v>
      </c>
      <c r="D10" s="182">
        <f>ROUND((C10/$C$28)*100,1)</f>
        <v>37.700000000000003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49311972</v>
      </c>
      <c r="D11" s="182">
        <f>ROUND((C11/$C$28)*100,1)</f>
        <v>27.3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3980946</v>
      </c>
      <c r="D12" s="182">
        <f>ROUND((C12/$C$28)*100,1)</f>
        <v>2.2000000000000002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2748010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12968267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2517533</v>
      </c>
      <c r="D16" s="182">
        <f t="shared" si="0"/>
        <v>1.4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4121783</v>
      </c>
      <c r="D17" s="182">
        <f t="shared" si="0"/>
        <v>2.2999999999999998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10001289</v>
      </c>
      <c r="D18" s="182">
        <f t="shared" si="0"/>
        <v>5.5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1345692</v>
      </c>
      <c r="D19" s="182">
        <f t="shared" si="0"/>
        <v>0.7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9387225</v>
      </c>
      <c r="D20" s="182">
        <f t="shared" si="0"/>
        <v>5.2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5914415</v>
      </c>
      <c r="D21" s="182">
        <f t="shared" si="0"/>
        <v>3.3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20855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510866</v>
      </c>
      <c r="D24" s="182">
        <f t="shared" si="0"/>
        <v>0.3</v>
      </c>
    </row>
    <row r="25" spans="1:4" x14ac:dyDescent="0.2">
      <c r="A25">
        <v>5120</v>
      </c>
      <c r="B25" t="s">
        <v>719</v>
      </c>
      <c r="C25" s="179">
        <f>ROUND('DOE25'!L261+'DOE25'!L342,0)</f>
        <v>4676821</v>
      </c>
      <c r="D25" s="182">
        <f t="shared" si="0"/>
        <v>2.6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606487.79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4274431.6399999997</v>
      </c>
      <c r="D27" s="182">
        <f t="shared" si="0"/>
        <v>2.4</v>
      </c>
    </row>
    <row r="28" spans="1:4" x14ac:dyDescent="0.2">
      <c r="B28" s="187" t="s">
        <v>722</v>
      </c>
      <c r="C28" s="180">
        <f>SUM(C10:C27)</f>
        <v>180379703.42999998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338099</v>
      </c>
    </row>
    <row r="30" spans="1:4" x14ac:dyDescent="0.2">
      <c r="B30" s="187" t="s">
        <v>728</v>
      </c>
      <c r="C30" s="180">
        <f>SUM(C28:C29)</f>
        <v>180717802.42999998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8075793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76787957</v>
      </c>
      <c r="D35" s="182">
        <f t="shared" ref="D35:D40" si="1">ROUND((C35/$C$41)*100,1)</f>
        <v>40.799999999999997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8599439.8400000036</v>
      </c>
      <c r="D36" s="182">
        <f t="shared" si="1"/>
        <v>4.5999999999999996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76904766</v>
      </c>
      <c r="D37" s="182">
        <f t="shared" si="1"/>
        <v>40.799999999999997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4232417</v>
      </c>
      <c r="D38" s="182">
        <f t="shared" si="1"/>
        <v>2.2000000000000002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21783711</v>
      </c>
      <c r="D39" s="182">
        <f t="shared" si="1"/>
        <v>11.6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188308290.84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Manchester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2017-10-12T16:10:46Z</cp:lastPrinted>
  <dcterms:created xsi:type="dcterms:W3CDTF">1997-12-04T19:04:30Z</dcterms:created>
  <dcterms:modified xsi:type="dcterms:W3CDTF">2017-11-29T17:36:57Z</dcterms:modified>
</cp:coreProperties>
</file>