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110" i="1"/>
  <c r="F9" i="1"/>
  <c r="F502" i="1" l="1"/>
  <c r="F501" i="1"/>
  <c r="J96" i="1" l="1"/>
  <c r="G611" i="1" l="1"/>
  <c r="H541" i="1"/>
  <c r="H526" i="1"/>
  <c r="J526" i="1"/>
  <c r="I526" i="1"/>
  <c r="G526" i="1"/>
  <c r="F526" i="1"/>
  <c r="G521" i="1"/>
  <c r="F521" i="1"/>
  <c r="H521" i="1"/>
  <c r="F368" i="1"/>
  <c r="F367" i="1"/>
  <c r="I358" i="1"/>
  <c r="H358" i="1"/>
  <c r="G358" i="1"/>
  <c r="H282" i="1"/>
  <c r="G282" i="1"/>
  <c r="G279" i="1"/>
  <c r="G277" i="1"/>
  <c r="F277" i="1"/>
  <c r="J276" i="1"/>
  <c r="G276" i="1"/>
  <c r="F276" i="1"/>
  <c r="H244" i="1"/>
  <c r="J202" i="1" l="1"/>
  <c r="I205" i="1"/>
  <c r="I203" i="1"/>
  <c r="I202" i="1"/>
  <c r="H209" i="1"/>
  <c r="H208" i="1"/>
  <c r="H204" i="1"/>
  <c r="H203" i="1"/>
  <c r="H202" i="1"/>
  <c r="G204" i="1"/>
  <c r="G203" i="1"/>
  <c r="G202" i="1"/>
  <c r="G200" i="1"/>
  <c r="F204" i="1"/>
  <c r="F203" i="1"/>
  <c r="F202" i="1"/>
  <c r="F200" i="1"/>
  <c r="H159" i="1"/>
  <c r="H155" i="1"/>
  <c r="H154" i="1"/>
  <c r="G97" i="1"/>
  <c r="F1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7" i="10" s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D12" i="13" s="1"/>
  <c r="C12" i="13" s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132" i="2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H169" i="1" s="1"/>
  <c r="I147" i="1"/>
  <c r="I162" i="1"/>
  <c r="C13" i="10"/>
  <c r="L250" i="1"/>
  <c r="L332" i="1"/>
  <c r="E113" i="2" s="1"/>
  <c r="L254" i="1"/>
  <c r="L268" i="1"/>
  <c r="L269" i="1"/>
  <c r="C143" i="2" s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E78" i="2" s="1"/>
  <c r="E81" i="2" s="1"/>
  <c r="F76" i="2"/>
  <c r="F78" i="2" s="1"/>
  <c r="F81" i="2" s="1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D115" i="2"/>
  <c r="F115" i="2"/>
  <c r="G115" i="2"/>
  <c r="E120" i="2"/>
  <c r="E121" i="2"/>
  <c r="E123" i="2"/>
  <c r="C124" i="2"/>
  <c r="F128" i="2"/>
  <c r="G128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F408" i="1" s="1"/>
  <c r="H643" i="1" s="1"/>
  <c r="J643" i="1" s="1"/>
  <c r="G407" i="1"/>
  <c r="H407" i="1"/>
  <c r="I407" i="1"/>
  <c r="G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H461" i="1" s="1"/>
  <c r="H641" i="1" s="1"/>
  <c r="I452" i="1"/>
  <c r="F460" i="1"/>
  <c r="G460" i="1"/>
  <c r="H460" i="1"/>
  <c r="F461" i="1"/>
  <c r="G461" i="1"/>
  <c r="I470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L560" i="1" s="1"/>
  <c r="F560" i="1"/>
  <c r="G560" i="1"/>
  <c r="H560" i="1"/>
  <c r="I560" i="1"/>
  <c r="J560" i="1"/>
  <c r="J571" i="1" s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4" i="1"/>
  <c r="G625" i="1"/>
  <c r="H630" i="1"/>
  <c r="G634" i="1"/>
  <c r="G639" i="1"/>
  <c r="H639" i="1"/>
  <c r="H640" i="1"/>
  <c r="G643" i="1"/>
  <c r="G644" i="1"/>
  <c r="G645" i="1"/>
  <c r="H645" i="1"/>
  <c r="G650" i="1"/>
  <c r="G652" i="1"/>
  <c r="H652" i="1"/>
  <c r="G653" i="1"/>
  <c r="H653" i="1"/>
  <c r="G654" i="1"/>
  <c r="H654" i="1"/>
  <c r="H655" i="1"/>
  <c r="A31" i="12"/>
  <c r="C70" i="2"/>
  <c r="D17" i="13"/>
  <c r="C17" i="13" s="1"/>
  <c r="D31" i="2"/>
  <c r="D50" i="2"/>
  <c r="F18" i="2"/>
  <c r="D91" i="2"/>
  <c r="G62" i="2"/>
  <c r="D19" i="13"/>
  <c r="C19" i="13" s="1"/>
  <c r="E13" i="13"/>
  <c r="C13" i="13" s="1"/>
  <c r="K571" i="1"/>
  <c r="L433" i="1"/>
  <c r="I169" i="1"/>
  <c r="G338" i="1"/>
  <c r="G352" i="1" s="1"/>
  <c r="J140" i="1"/>
  <c r="F571" i="1"/>
  <c r="G22" i="2"/>
  <c r="K545" i="1"/>
  <c r="H140" i="1"/>
  <c r="F22" i="13"/>
  <c r="H25" i="13"/>
  <c r="C25" i="13" s="1"/>
  <c r="H192" i="1"/>
  <c r="L309" i="1"/>
  <c r="I571" i="1"/>
  <c r="C22" i="13"/>
  <c r="H33" i="13"/>
  <c r="K551" i="1" l="1"/>
  <c r="C26" i="10"/>
  <c r="J655" i="1"/>
  <c r="G157" i="2"/>
  <c r="J641" i="1"/>
  <c r="G545" i="1"/>
  <c r="J257" i="1"/>
  <c r="J271" i="1" s="1"/>
  <c r="C18" i="2"/>
  <c r="E118" i="2"/>
  <c r="E109" i="2"/>
  <c r="L270" i="1"/>
  <c r="C12" i="10"/>
  <c r="C20" i="10"/>
  <c r="D18" i="13"/>
  <c r="C18" i="13" s="1"/>
  <c r="L351" i="1"/>
  <c r="H408" i="1"/>
  <c r="H644" i="1" s="1"/>
  <c r="J644" i="1" s="1"/>
  <c r="H338" i="1"/>
  <c r="H352" i="1" s="1"/>
  <c r="H257" i="1"/>
  <c r="H271" i="1" s="1"/>
  <c r="J552" i="1"/>
  <c r="C19" i="10"/>
  <c r="E124" i="2"/>
  <c r="F661" i="1"/>
  <c r="H647" i="1"/>
  <c r="C18" i="10"/>
  <c r="C120" i="2"/>
  <c r="I545" i="1"/>
  <c r="F338" i="1"/>
  <c r="F352" i="1" s="1"/>
  <c r="F257" i="1"/>
  <c r="F271" i="1" s="1"/>
  <c r="J645" i="1"/>
  <c r="J545" i="1"/>
  <c r="I257" i="1"/>
  <c r="I271" i="1" s="1"/>
  <c r="E16" i="13"/>
  <c r="C16" i="13" s="1"/>
  <c r="C29" i="10"/>
  <c r="E8" i="13"/>
  <c r="C8" i="13" s="1"/>
  <c r="L539" i="1"/>
  <c r="K500" i="1"/>
  <c r="L382" i="1"/>
  <c r="K257" i="1"/>
  <c r="K271" i="1" s="1"/>
  <c r="G257" i="1"/>
  <c r="G271" i="1" s="1"/>
  <c r="G81" i="2"/>
  <c r="L393" i="1"/>
  <c r="C138" i="2" s="1"/>
  <c r="E119" i="2"/>
  <c r="C11" i="10"/>
  <c r="C112" i="2"/>
  <c r="A40" i="12"/>
  <c r="A13" i="12"/>
  <c r="L534" i="1"/>
  <c r="J640" i="1"/>
  <c r="I460" i="1"/>
  <c r="I461" i="1" s="1"/>
  <c r="H642" i="1" s="1"/>
  <c r="J639" i="1"/>
  <c r="I446" i="1"/>
  <c r="G642" i="1" s="1"/>
  <c r="L614" i="1"/>
  <c r="K598" i="1"/>
  <c r="G647" i="1" s="1"/>
  <c r="J649" i="1"/>
  <c r="G552" i="1"/>
  <c r="H545" i="1"/>
  <c r="L529" i="1"/>
  <c r="K549" i="1"/>
  <c r="F552" i="1"/>
  <c r="L524" i="1"/>
  <c r="J634" i="1"/>
  <c r="D127" i="2"/>
  <c r="D128" i="2" s="1"/>
  <c r="D145" i="2" s="1"/>
  <c r="G661" i="1"/>
  <c r="L362" i="1"/>
  <c r="D29" i="13"/>
  <c r="C29" i="13" s="1"/>
  <c r="H661" i="1"/>
  <c r="F662" i="1"/>
  <c r="I662" i="1" s="1"/>
  <c r="K338" i="1"/>
  <c r="K352" i="1" s="1"/>
  <c r="E128" i="2"/>
  <c r="C16" i="10"/>
  <c r="E115" i="2"/>
  <c r="L290" i="1"/>
  <c r="J338" i="1"/>
  <c r="J352" i="1" s="1"/>
  <c r="H662" i="1"/>
  <c r="C21" i="10"/>
  <c r="D15" i="13"/>
  <c r="C15" i="13" s="1"/>
  <c r="G651" i="1"/>
  <c r="J651" i="1" s="1"/>
  <c r="L247" i="1"/>
  <c r="H660" i="1" s="1"/>
  <c r="H664" i="1" s="1"/>
  <c r="H667" i="1" s="1"/>
  <c r="C109" i="2"/>
  <c r="C10" i="10"/>
  <c r="C25" i="10"/>
  <c r="D6" i="13"/>
  <c r="C6" i="13" s="1"/>
  <c r="C121" i="2"/>
  <c r="C119" i="2"/>
  <c r="C118" i="2"/>
  <c r="C123" i="2"/>
  <c r="D14" i="13"/>
  <c r="C14" i="13" s="1"/>
  <c r="L211" i="1"/>
  <c r="E33" i="13"/>
  <c r="D35" i="13" s="1"/>
  <c r="C15" i="10"/>
  <c r="D5" i="13"/>
  <c r="C5" i="13" s="1"/>
  <c r="C110" i="2"/>
  <c r="C115" i="2" s="1"/>
  <c r="C81" i="2"/>
  <c r="F112" i="1"/>
  <c r="C36" i="10" s="1"/>
  <c r="C62" i="2"/>
  <c r="C56" i="2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F104" i="2"/>
  <c r="H193" i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I663" i="1"/>
  <c r="G635" i="1"/>
  <c r="K552" i="1" l="1"/>
  <c r="G104" i="2"/>
  <c r="G629" i="1"/>
  <c r="H468" i="1"/>
  <c r="L338" i="1"/>
  <c r="L352" i="1" s="1"/>
  <c r="C27" i="10"/>
  <c r="C28" i="10" s="1"/>
  <c r="D19" i="10" s="1"/>
  <c r="G472" i="1"/>
  <c r="H648" i="1"/>
  <c r="J648" i="1" s="1"/>
  <c r="G51" i="2"/>
  <c r="G638" i="1"/>
  <c r="J472" i="1"/>
  <c r="J647" i="1"/>
  <c r="G636" i="1"/>
  <c r="I472" i="1"/>
  <c r="J642" i="1"/>
  <c r="H646" i="1"/>
  <c r="G646" i="1"/>
  <c r="J468" i="1"/>
  <c r="L545" i="1"/>
  <c r="I661" i="1"/>
  <c r="G664" i="1"/>
  <c r="G667" i="1" s="1"/>
  <c r="E145" i="2"/>
  <c r="D31" i="13"/>
  <c r="C31" i="13" s="1"/>
  <c r="F660" i="1"/>
  <c r="F664" i="1" s="1"/>
  <c r="F672" i="1" s="1"/>
  <c r="C4" i="10" s="1"/>
  <c r="H672" i="1"/>
  <c r="C6" i="10" s="1"/>
  <c r="C128" i="2"/>
  <c r="C145" i="2" s="1"/>
  <c r="L257" i="1"/>
  <c r="L271" i="1" s="1"/>
  <c r="F193" i="1"/>
  <c r="C63" i="2"/>
  <c r="C104" i="2" s="1"/>
  <c r="C51" i="2"/>
  <c r="G631" i="1"/>
  <c r="G193" i="1"/>
  <c r="G626" i="1"/>
  <c r="J52" i="1"/>
  <c r="H621" i="1" s="1"/>
  <c r="J621" i="1" s="1"/>
  <c r="C38" i="10"/>
  <c r="H636" i="1" l="1"/>
  <c r="J636" i="1" s="1"/>
  <c r="I474" i="1"/>
  <c r="I476" i="1" s="1"/>
  <c r="H625" i="1" s="1"/>
  <c r="J625" i="1" s="1"/>
  <c r="G628" i="1"/>
  <c r="G468" i="1"/>
  <c r="G627" i="1"/>
  <c r="F468" i="1"/>
  <c r="G633" i="1"/>
  <c r="H472" i="1"/>
  <c r="G632" i="1"/>
  <c r="F472" i="1"/>
  <c r="H470" i="1"/>
  <c r="H629" i="1"/>
  <c r="J629" i="1" s="1"/>
  <c r="J474" i="1"/>
  <c r="H638" i="1"/>
  <c r="J638" i="1" s="1"/>
  <c r="H635" i="1"/>
  <c r="J635" i="1" s="1"/>
  <c r="G474" i="1"/>
  <c r="J646" i="1"/>
  <c r="H637" i="1"/>
  <c r="J637" i="1" s="1"/>
  <c r="J470" i="1"/>
  <c r="J476" i="1" s="1"/>
  <c r="H626" i="1" s="1"/>
  <c r="H631" i="1"/>
  <c r="J631" i="1" s="1"/>
  <c r="G672" i="1"/>
  <c r="C5" i="10" s="1"/>
  <c r="D33" i="13"/>
  <c r="D36" i="13" s="1"/>
  <c r="F667" i="1"/>
  <c r="I660" i="1"/>
  <c r="I664" i="1" s="1"/>
  <c r="I672" i="1" s="1"/>
  <c r="C7" i="10" s="1"/>
  <c r="D24" i="10"/>
  <c r="D17" i="10"/>
  <c r="D10" i="10"/>
  <c r="D21" i="10"/>
  <c r="D26" i="10"/>
  <c r="D23" i="10"/>
  <c r="D13" i="10"/>
  <c r="D12" i="10"/>
  <c r="D27" i="10"/>
  <c r="D11" i="10"/>
  <c r="D16" i="10"/>
  <c r="D18" i="10"/>
  <c r="C30" i="10"/>
  <c r="D22" i="10"/>
  <c r="D20" i="10"/>
  <c r="D15" i="10"/>
  <c r="D25" i="10"/>
  <c r="C41" i="10"/>
  <c r="D38" i="10" s="1"/>
  <c r="H474" i="1" l="1"/>
  <c r="H633" i="1"/>
  <c r="G470" i="1"/>
  <c r="G476" i="1" s="1"/>
  <c r="H623" i="1" s="1"/>
  <c r="J623" i="1" s="1"/>
  <c r="H628" i="1"/>
  <c r="J628" i="1" s="1"/>
  <c r="H476" i="1"/>
  <c r="H624" i="1" s="1"/>
  <c r="J624" i="1" s="1"/>
  <c r="J633" i="1"/>
  <c r="H632" i="1"/>
  <c r="F474" i="1"/>
  <c r="F476" i="1" s="1"/>
  <c r="H622" i="1" s="1"/>
  <c r="J622" i="1" s="1"/>
  <c r="H627" i="1"/>
  <c r="J627" i="1" s="1"/>
  <c r="F470" i="1"/>
  <c r="J632" i="1"/>
  <c r="J626" i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<sst xmlns="http://schemas.openxmlformats.org/spreadsheetml/2006/main" count="3957" uniqueCount="915">
  <si>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</si>
  <si>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</si>
  <si>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</si>
  <si>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</si>
  <si>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</si>
  <si>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</si>
  <si>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</si>
  <si>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</si>
  <si>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</si>
  <si>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</si>
  <si>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</si>
  <si>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</si>
  <si>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</si>
  <si>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</si>
  <si>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</si>
  <si>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</si>
  <si>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</si>
  <si>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</si>
  <si>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</si>
  <si>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</si>
  <si>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</si>
  <si>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</si>
  <si>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</si>
  <si>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</si>
  <si>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</si>
  <si>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</si>
  <si>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</si>
  <si>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</si>
  <si>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</si>
  <si>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</si>
  <si>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</si>
  <si>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</si>
  <si>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</si>
  <si>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</si>
  <si>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</si>
  <si>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</si>
  <si>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</si>
  <si>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</si>
  <si>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</si>
  <si>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</si>
  <si>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</si>
  <si>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</si>
  <si>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</si>
  <si>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</si>
  <si>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</si>
  <si>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</si>
  <si>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</si>
  <si>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</si>
  <si>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</si>
  <si>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</si>
  <si>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</si>
  <si>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</si>
  <si>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</si>
  <si>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</si>
  <si>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</si>
  <si>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</si>
  <si>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</si>
  <si>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</si>
  <si>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</si>
  <si>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</si>
  <si>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</si>
  <si>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</si>
  <si>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</si>
  <si>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</si>
  <si>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</si>
  <si>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</si>
  <si>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</si>
  <si>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</si>
  <si>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</si>
  <si>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</si>
  <si>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</si>
  <si>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</si>
  <si>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</si>
  <si>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</si>
  <si>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</si>
  <si>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</si>
  <si>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</si>
  <si>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</si>
  <si>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</si>
  <si>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</si>
  <si>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</si>
  <si>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</si>
  <si>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</si>
  <si>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</si>
  <si>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</si>
  <si>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</si>
  <si>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</si>
  <si>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</si>
  <si>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</si>
  <si>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</si>
  <si>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</si>
  <si>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</si>
  <si>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</si>
  <si>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</si>
  <si>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</si>
  <si>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</si>
  <si>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</si>
  <si>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</si>
  <si>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</si>
  <si>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</si>
  <si>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</si>
  <si>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</si>
  <si>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</si>
  <si>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</si>
  <si>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</si>
  <si>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</si>
  <si>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</si>
  <si>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</si>
  <si>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</si>
  <si>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</si>
  <si>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</si>
  <si>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</si>
  <si>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</si>
  <si>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</si>
  <si>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</si>
  <si>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</si>
  <si>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</si>
  <si>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</si>
  <si>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</si>
  <si>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</si>
  <si>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</si>
  <si>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</si>
  <si>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</si>
  <si>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</si>
  <si>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</si>
  <si>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</si>
  <si>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</si>
  <si>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</si>
  <si>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</si>
  <si>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</si>
  <si>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</si>
  <si>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</si>
  <si>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</si>
  <si>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</si>
  <si>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</si>
  <si>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</si>
  <si>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</si>
  <si>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</si>
  <si>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</si>
  <si>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</si>
  <si>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</si>
  <si>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</si>
  <si>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</si>
  <si>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</si>
  <si>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</si>
  <si>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</si>
  <si>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</si>
  <si>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</si>
  <si>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</si>
  <si>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</si>
  <si>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</si>
  <si>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</si>
  <si>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</si>
  <si>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</si>
  <si>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</si>
  <si>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</si>
  <si>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</si>
  <si>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</si>
  <si>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</si>
  <si>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</si>
  <si>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</si>
  <si>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</si>
  <si>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</si>
  <si>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</si>
  <si>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</si>
  <si>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</si>
  <si>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</si>
  <si>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</si>
  <si>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</si>
  <si>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</si>
  <si>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</si>
  <si>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</si>
  <si>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</si>
  <si>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</si>
  <si>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</si>
  <si>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</si>
  <si>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</si>
  <si>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</si>
  <si>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</si>
  <si>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</si>
  <si>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</si>
  <si>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</si>
  <si>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</si>
  <si>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</si>
  <si>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</si>
  <si>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</si>
  <si>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</si>
  <si>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</si>
  <si>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</si>
  <si>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</si>
  <si>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</si>
  <si>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</si>
  <si>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</si>
  <si>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</si>
  <si>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</si>
  <si>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</si>
  <si>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</si>
  <si>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</si>
  <si>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</si>
  <si>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</si>
  <si>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</si>
  <si>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</si>
  <si>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</si>
  <si>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</si>
  <si>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</si>
  <si>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</si>
  <si>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</si>
  <si>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</si>
  <si>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</si>
  <si>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</si>
  <si>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</si>
  <si>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</si>
  <si>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</si>
  <si>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</si>
  <si>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</si>
  <si>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</si>
  <si>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</si>
  <si>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</si>
  <si>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</si>
  <si>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</si>
  <si>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</si>
  <si>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</si>
  <si>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</si>
  <si>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</si>
  <si>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</si>
  <si>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</si>
  <si>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</si>
  <si>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</si>
  <si>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</si>
  <si>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</si>
  <si>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</si>
  <si>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</si>
  <si>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</si>
  <si>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</si>
  <si>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</si>
  <si>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</si>
  <si>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</si>
  <si>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</si>
  <si>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</si>
  <si>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</si>
  <si>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</si>
  <si>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</si>
  <si>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</si>
  <si>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</si>
  <si>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</si>
  <si>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</si>
  <si>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</si>
  <si>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</si>
  <si>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</si>
  <si>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</si>
  <si>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</si>
  <si>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</si>
  <si>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</si>
  <si>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</si>
  <si>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</si>
  <si>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</si>
  <si>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</si>
  <si>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</si>
  <si>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</si>
  <si>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</si>
  <si>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</si>
  <si>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</si>
  <si>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</si>
  <si>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</si>
  <si>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</si>
  <si>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</si>
  <si>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</si>
  <si>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</si>
  <si>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</si>
  <si>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</si>
  <si>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</si>
  <si>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</si>
  <si>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</si>
  <si>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</si>
  <si>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</si>
  <si>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</si>
  <si>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</si>
  <si>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</si>
  <si>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</si>
  <si>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</si>
  <si>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</si>
  <si>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</si>
  <si>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</si>
  <si>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</si>
  <si>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</si>
  <si>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</si>
  <si>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</si>
  <si>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</si>
  <si>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</si>
  <si>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</si>
  <si>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</si>
  <si>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</si>
  <si>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</si>
  <si>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</si>
  <si>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</si>
  <si>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</si>
  <si>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</si>
  <si>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</si>
  <si>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</si>
  <si>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</si>
  <si>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</si>
  <si>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</si>
  <si>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</si>
  <si>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</si>
  <si>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</si>
  <si>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</si>
  <si>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</si>
  <si>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</si>
  <si>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</si>
  <si>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</si>
  <si>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</si>
  <si>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</si>
  <si>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</si>
  <si>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</si>
  <si>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</si>
  <si>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</si>
  <si>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</si>
  <si>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</si>
  <si>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</si>
  <si>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</si>
  <si>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</si>
  <si>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</si>
  <si>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</si>
  <si>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</si>
  <si>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</si>
  <si>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</si>
  <si>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</si>
  <si>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</si>
  <si>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</si>
  <si>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</si>
  <si>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</si>
  <si>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</si>
  <si>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</si>
  <si>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</si>
  <si>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</si>
  <si>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</si>
  <si>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</si>
  <si>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</si>
  <si>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</si>
  <si>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</si>
  <si>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</si>
  <si>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</si>
  <si>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</si>
  <si>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</si>
  <si>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</si>
  <si>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</si>
  <si>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</si>
  <si>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</si>
  <si>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</si>
  <si>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</si>
  <si>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</si>
  <si>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</si>
  <si>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</si>
  <si>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</si>
  <si>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</si>
  <si>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</si>
  <si>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</si>
  <si>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</si>
  <si>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</si>
  <si>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</si>
  <si>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</si>
  <si>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</si>
  <si>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</si>
  <si>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</si>
  <si>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</si>
  <si>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</si>
  <si>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</si>
  <si>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</si>
  <si>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</si>
  <si>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</si>
  <si>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</si>
  <si>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</si>
  <si>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</si>
  <si>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</si>
  <si>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</si>
  <si>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</si>
  <si>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</si>
  <si>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</si>
  <si>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</si>
  <si>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</si>
  <si>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</si>
  <si>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</si>
  <si>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</si>
  <si>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</si>
  <si>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</si>
  <si>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</si>
  <si>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</si>
  <si>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</si>
  <si>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</si>
  <si>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</si>
  <si>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</si>
  <si>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</si>
  <si>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</si>
  <si>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</si>
  <si>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</si>
  <si>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</si>
  <si>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</si>
  <si>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</si>
  <si>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</si>
  <si>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</si>
  <si>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</si>
  <si>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</si>
  <si>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</si>
  <si>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</si>
  <si>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</si>
  <si>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</si>
  <si>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</si>
  <si>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</si>
  <si>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</si>
  <si>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</si>
  <si>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</si>
  <si>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</si>
  <si>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</si>
  <si>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</si>
  <si>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</si>
  <si>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</si>
  <si>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</si>
  <si>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</si>
  <si>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</si>
  <si>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</si>
  <si>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</si>
  <si>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</si>
  <si>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</si>
  <si>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</si>
  <si>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</si>
  <si>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</si>
  <si>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</si>
  <si>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</si>
  <si>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</si>
  <si>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</si>
  <si>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</si>
  <si>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</si>
  <si>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</si>
  <si>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</si>
  <si>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</si>
  <si>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</si>
  <si>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</si>
  <si>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</si>
  <si>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</si>
  <si>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</si>
  <si>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</si>
  <si>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</si>
  <si>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</si>
  <si>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</si>
  <si>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</si>
  <si>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</si>
  <si>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</si>
  <si>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</si>
  <si>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</si>
  <si>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</si>
  <si>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</si>
  <si>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</si>
  <si>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</si>
  <si>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</si>
  <si>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</si>
  <si>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</si>
  <si>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</si>
  <si>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</si>
  <si>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</si>
  <si>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</si>
  <si>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</si>
  <si>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</si>
  <si>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</si>
  <si>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</si>
  <si>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</si>
  <si>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</si>
  <si>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</si>
  <si>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</si>
  <si>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</si>
  <si>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</si>
  <si>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</si>
  <si>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</si>
  <si>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</si>
  <si>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</si>
  <si>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</si>
  <si>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</si>
  <si>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</si>
  <si>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</si>
  <si>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</si>
  <si>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</si>
  <si>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</si>
  <si>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</si>
  <si>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</si>
  <si>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</si>
  <si>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</si>
  <si>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</si>
  <si>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</si>
  <si>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</si>
  <si>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</si>
  <si>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</si>
  <si>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</si>
  <si>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</si>
  <si>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</si>
  <si>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</si>
  <si>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</si>
  <si>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</si>
  <si>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</si>
  <si>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</si>
  <si>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</si>
  <si>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</si>
  <si>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</si>
  <si>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</si>
  <si>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</si>
  <si>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</si>
  <si>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</si>
  <si>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</si>
  <si>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</si>
  <si>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</si>
  <si>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</si>
  <si>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</si>
  <si>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</si>
  <si>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</si>
  <si>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</si>
  <si>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</si>
  <si>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</si>
  <si>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</si>
  <si>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</si>
  <si>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</si>
  <si>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</si>
  <si>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</si>
  <si>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</si>
  <si>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</si>
  <si>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</si>
  <si>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</si>
  <si>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</si>
  <si>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</si>
  <si>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</si>
  <si>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</si>
  <si>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</si>
  <si>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</si>
  <si>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</si>
  <si>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</si>
  <si>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</si>
  <si>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</si>
  <si>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</si>
  <si>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</si>
  <si>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</si>
  <si>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</si>
  <si>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</si>
  <si>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</si>
  <si>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</si>
  <si>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</si>
  <si>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</si>
  <si>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</si>
  <si>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</si>
  <si>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</si>
  <si>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</si>
  <si>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</si>
  <si>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</si>
  <si>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</si>
  <si>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</si>
  <si>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</si>
  <si>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</si>
  <si>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</si>
  <si>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</si>
  <si>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</si>
  <si>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</si>
  <si>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</si>
  <si>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</si>
  <si>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</si>
  <si>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</si>
  <si>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</si>
  <si>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</si>
  <si>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</si>
  <si>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</si>
  <si>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</si>
  <si>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</si>
  <si>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</si>
  <si>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</si>
  <si>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</si>
  <si>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</si>
  <si>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</si>
  <si>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</si>
  <si>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</si>
  <si>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</si>
  <si>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</si>
  <si>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</si>
  <si>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</si>
  <si>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</si>
  <si>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</si>
  <si>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</si>
  <si>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</si>
  <si>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</si>
  <si>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</si>
  <si>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</si>
  <si>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</si>
  <si>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</si>
  <si>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</si>
  <si>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</si>
  <si>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</si>
  <si>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</si>
  <si>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</si>
  <si>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</si>
  <si>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</si>
  <si>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</si>
  <si>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</si>
  <si>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</si>
  <si>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</si>
  <si>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</si>
  <si>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</si>
  <si>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</si>
  <si>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</si>
  <si>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</si>
  <si>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</si>
  <si>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</si>
  <si>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</si>
  <si>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</si>
  <si>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</si>
  <si>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</si>
  <si>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</si>
  <si>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</si>
  <si>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</si>
  <si>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</si>
  <si>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</si>
  <si>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</si>
  <si>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</si>
  <si>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</si>
  <si>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</si>
  <si>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</si>
  <si>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</si>
  <si>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</si>
  <si>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</si>
  <si>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</si>
  <si>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</si>
  <si>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</si>
  <si>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</si>
  <si>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</si>
  <si>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</si>
  <si>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</si>
  <si>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</si>
  <si>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</si>
  <si>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</si>
  <si>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</si>
  <si>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</si>
  <si>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</si>
  <si>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</si>
  <si>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</si>
  <si>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</si>
  <si>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</si>
  <si>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</si>
  <si>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</si>
  <si>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</si>
  <si>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</si>
  <si>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</si>
  <si>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</si>
  <si>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</si>
  <si>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</si>
  <si>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</si>
  <si>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</si>
  <si>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</si>
  <si>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</si>
  <si>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</si>
  <si>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</si>
  <si>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</si>
  <si>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</si>
  <si>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</si>
  <si>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</si>
  <si>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</si>
  <si>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</si>
  <si>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</si>
  <si>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</si>
  <si>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</si>
  <si>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</si>
  <si>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</si>
  <si>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</si>
  <si>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</si>
  <si>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</si>
  <si>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</si>
  <si>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</si>
  <si>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</si>
  <si>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</si>
  <si>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</si>
  <si>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</si>
  <si>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</si>
  <si>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</si>
  <si>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</si>
  <si>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</si>
  <si>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</si>
  <si>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</si>
  <si>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</si>
  <si>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</si>
  <si>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</si>
  <si>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</si>
  <si>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</si>
  <si>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</si>
  <si>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</si>
  <si>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</si>
  <si>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</si>
  <si>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</si>
  <si>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</si>
  <si>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</si>
  <si>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</si>
  <si>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</si>
  <si>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</si>
  <si>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</si>
  <si>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</si>
  <si>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</si>
  <si>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</si>
  <si>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</si>
  <si>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</si>
  <si>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</si>
  <si>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</si>
  <si>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</si>
  <si>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</si>
  <si>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</si>
  <si>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</si>
  <si>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</si>
  <si>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</si>
  <si>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</si>
  <si>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</si>
  <si>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</si>
  <si>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</si>
  <si>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</si>
  <si>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</si>
  <si>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</si>
  <si>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</si>
  <si>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</si>
  <si>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</si>
  <si>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</si>
  <si>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</si>
  <si>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</si>
  <si>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</si>
  <si>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</si>
  <si>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</si>
  <si>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</si>
  <si>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</si>
  <si>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</si>
  <si>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</si>
  <si>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</si>
  <si>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</si>
  <si>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</si>
  <si>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</si>
  <si>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</si>
  <si>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</si>
  <si>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</si>
  <si>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</si>
  <si>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</si>
  <si>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</si>
  <si>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</si>
  <si>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</si>
  <si>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</si>
  <si>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</si>
  <si>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</si>
  <si>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</si>
  <si>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</si>
  <si>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</si>
  <si>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</si>
  <si>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</si>
  <si>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</si>
  <si>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</si>
  <si>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</si>
  <si>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</si>
  <si>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</si>
  <si>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</si>
  <si>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</si>
  <si>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</si>
  <si>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</si>
  <si>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</si>
  <si>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</si>
  <si>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</si>
  <si>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</si>
  <si>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</si>
  <si>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</si>
  <si>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</si>
  <si>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</si>
  <si>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</si>
  <si>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</si>
  <si>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</si>
  <si>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</si>
  <si>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</si>
  <si>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</si>
  <si>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</si>
  <si>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</si>
  <si>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</si>
  <si>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</si>
  <si>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</si>
  <si>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</si>
  <si>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</si>
  <si>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</si>
  <si>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</si>
  <si>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</si>
  <si>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</si>
  <si>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</si>
  <si>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</si>
  <si>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</si>
  <si>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</si>
  <si>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</si>
  <si>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</si>
  <si>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</si>
  <si>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</si>
  <si>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</si>
  <si>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</si>
  <si>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</si>
  <si>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</si>
  <si>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</si>
  <si>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</si>
  <si>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</si>
  <si>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</si>
  <si>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</si>
  <si>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</si>
  <si>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</si>
  <si>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</si>
  <si>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</si>
  <si>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</si>
  <si>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</si>
  <si>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</si>
  <si>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</si>
  <si>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</si>
  <si>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</si>
  <si>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</si>
  <si>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</si>
  <si>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</si>
  <si>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</si>
  <si>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</si>
  <si>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</si>
  <si>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</si>
  <si>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</si>
  <si>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</si>
  <si>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</si>
  <si>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</si>
  <si>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</si>
  <si>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</si>
  <si>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</si>
  <si>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</si>
  <si>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</si>
  <si>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</si>
  <si>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</si>
  <si>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</si>
  <si>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</si>
  <si>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</si>
  <si>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</si>
  <si>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</si>
  <si>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</si>
  <si>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</si>
  <si>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</si>
  <si>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</si>
  <si>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</si>
  <si>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</si>
  <si>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</si>
  <si>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</si>
  <si>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</si>
  <si>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</si>
  <si>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</si>
  <si>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</si>
  <si>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</si>
  <si>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</si>
  <si>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</si>
  <si>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</si>
  <si>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</si>
  <si>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</si>
  <si>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</si>
  <si>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</si>
  <si>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</si>
  <si>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</si>
  <si>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</si>
  <si>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</si>
  <si>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</si>
  <si>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</si>
  <si>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</si>
  <si>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</si>
  <si>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</si>
  <si>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</si>
  <si>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</si>
  <si>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</si>
  <si>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</si>
  <si>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</si>
  <si>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</si>
  <si>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</si>
  <si>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</si>
  <si>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</si>
  <si>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</si>
  <si>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</si>
  <si>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</si>
  <si>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</si>
  <si>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</si>
  <si>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</si>
  <si>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</si>
  <si>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</si>
  <si>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</si>
  <si>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</si>
  <si>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</si>
  <si>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</si>
  <si>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</si>
  <si>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</si>
  <si>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</si>
  <si>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</si>
  <si>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</si>
  <si>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</si>
  <si>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</si>
  <si>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</si>
  <si>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</si>
  <si>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</si>
  <si>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</si>
  <si>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</si>
  <si>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</si>
  <si>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</si>
  <si>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</si>
  <si>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</si>
  <si>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</si>
  <si>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</si>
  <si>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</si>
  <si>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</si>
  <si>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</si>
  <si>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</si>
  <si>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</si>
  <si>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</si>
  <si>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</si>
  <si>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</si>
  <si>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</si>
  <si>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</si>
  <si>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</si>
  <si>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</si>
  <si>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MARLBOROUGH</t>
  </si>
  <si>
    <t>07/08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</si>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</sst>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8" zoomScaleNormal="118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28" sqref="H52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339</v>
      </c>
      <c r="C2" s="21">
        <v>339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369549.14+100-53158.15-47127.65</f>
        <v>269363.33999999997</v>
      </c>
      <c r="G9" s="18"/>
      <c r="H9" s="18">
        <v>47127.65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147108.06</v>
      </c>
      <c r="G10" s="18"/>
      <c r="H10" s="18"/>
      <c r="I10" s="18"/>
      <c r="J10" s="67">
        <f>SUM(I440)</f>
        <v>564789.1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6689.22+16047.08</f>
        <v>22736.3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12868.25</v>
      </c>
      <c r="G13" s="18">
        <v>7593.76</v>
      </c>
      <c r="H13" s="18">
        <v>17408.509999999998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588.07000000000005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452075.94999999995</v>
      </c>
      <c r="G19" s="41">
        <f>SUM(G9:G18)</f>
        <v>8181.83</v>
      </c>
      <c r="H19" s="41">
        <f>SUM(H9:H18)</f>
        <v>64536.160000000003</v>
      </c>
      <c r="I19" s="41">
        <f>SUM(I9:I18)</f>
        <v>0</v>
      </c>
      <c r="J19" s="41">
        <f>SUM(J9:J18)</f>
        <v>564789.1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6689.22</v>
      </c>
      <c r="H22" s="18">
        <v>16047.08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21274.42</v>
      </c>
      <c r="G23" s="18"/>
      <c r="H23" s="18">
        <v>1361.43</v>
      </c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12025.4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4795.2700000000004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1492.61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38095.089999999997</v>
      </c>
      <c r="G32" s="41">
        <f>SUM(G22:G31)</f>
        <v>8181.83</v>
      </c>
      <c r="H32" s="41">
        <f>SUM(H22:H31)</f>
        <v>17408.509999999998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564789.1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1029.95</v>
      </c>
      <c r="G49" s="18"/>
      <c r="H49" s="18">
        <v>47127.65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460078.56-47127.65</f>
        <v>412950.91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413980.86</v>
      </c>
      <c r="G51" s="41">
        <f>SUM(G35:G50)</f>
        <v>0</v>
      </c>
      <c r="H51" s="41">
        <f>SUM(H35:H50)</f>
        <v>47127.65</v>
      </c>
      <c r="I51" s="41">
        <f>SUM(I35:I50)</f>
        <v>0</v>
      </c>
      <c r="J51" s="41">
        <f>SUM(J35:J50)</f>
        <v>564789.1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452075.94999999995</v>
      </c>
      <c r="G52" s="41">
        <f>G51+G32</f>
        <v>8181.83</v>
      </c>
      <c r="H52" s="41">
        <f>H51+H32</f>
        <v>64536.160000000003</v>
      </c>
      <c r="I52" s="41">
        <f>I51+I32</f>
        <v>0</v>
      </c>
      <c r="J52" s="41">
        <f>J51+J32</f>
        <v>564789.1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3295914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3295914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250</v>
      </c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250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1422.35</v>
      </c>
      <c r="G96" s="18"/>
      <c r="H96" s="18"/>
      <c r="I96" s="18"/>
      <c r="J96" s="18">
        <f>1485.78+3590.44</f>
        <v>5076.22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24842.87+3425.05+3303+2184.05</f>
        <v>33754.97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150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9810.4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521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52998.73-47127.65</f>
        <v>5871.0800000000017</v>
      </c>
      <c r="G110" s="18"/>
      <c r="H110" s="18">
        <v>47127.65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17774.830000000002</v>
      </c>
      <c r="G111" s="41">
        <f>SUM(G96:G110)</f>
        <v>33754.97</v>
      </c>
      <c r="H111" s="41">
        <f>SUM(H96:H110)</f>
        <v>47127.65</v>
      </c>
      <c r="I111" s="41">
        <f>SUM(I96:I110)</f>
        <v>0</v>
      </c>
      <c r="J111" s="41">
        <f>SUM(J96:J110)</f>
        <v>5076.22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3313938.83</v>
      </c>
      <c r="G112" s="41">
        <f>G60+G111</f>
        <v>33754.97</v>
      </c>
      <c r="H112" s="41">
        <f>H60+H79+H94+H111</f>
        <v>47127.65</v>
      </c>
      <c r="I112" s="41">
        <f>I60+I111</f>
        <v>0</v>
      </c>
      <c r="J112" s="41">
        <f>J60+J111</f>
        <v>5076.22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1338495.72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375747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1714242.72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270643.59999999998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3402.55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1230.3399999999999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274046.14999999997</v>
      </c>
      <c r="G136" s="41">
        <f>SUM(G123:G135)</f>
        <v>1230.3399999999999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1988288.8699999999</v>
      </c>
      <c r="G140" s="41">
        <f>G121+SUM(G136:G137)</f>
        <v>1230.3399999999999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5308.75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1350.07+44913.02</f>
        <v>46263.09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105.41+1249.25+13752.17</f>
        <v>15106.83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70920.44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819.44+17459.56</f>
        <v>18279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25949.3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25949.3</v>
      </c>
      <c r="G162" s="41">
        <f>SUM(G150:G161)</f>
        <v>70920.44</v>
      </c>
      <c r="H162" s="41">
        <f>SUM(H150:H161)</f>
        <v>84957.67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25949.3</v>
      </c>
      <c r="G169" s="41">
        <f>G147+G162+SUM(G163:G168)</f>
        <v>70920.44</v>
      </c>
      <c r="H169" s="41">
        <f>H147+H162+SUM(H163:H168)</f>
        <v>84957.67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33094.01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33094.01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33094.01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5328177</v>
      </c>
      <c r="G193" s="47">
        <f>G112+G140+G169+G192</f>
        <v>138999.76</v>
      </c>
      <c r="H193" s="47">
        <f>H112+H140+H169+H192</f>
        <v>132085.32</v>
      </c>
      <c r="I193" s="47">
        <f>I112+I140+I169+I192</f>
        <v>0</v>
      </c>
      <c r="J193" s="47">
        <f>J112+J140+J192</f>
        <v>5076.22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992285.52</v>
      </c>
      <c r="G197" s="18">
        <v>401944.83</v>
      </c>
      <c r="H197" s="18">
        <v>5614.25</v>
      </c>
      <c r="I197" s="18">
        <v>41825.660000000003</v>
      </c>
      <c r="J197" s="18">
        <v>18082.830000000002</v>
      </c>
      <c r="K197" s="18"/>
      <c r="L197" s="19">
        <f>SUM(F197:K197)</f>
        <v>1459753.09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243178.79</v>
      </c>
      <c r="G198" s="18">
        <v>52321.61</v>
      </c>
      <c r="H198" s="18">
        <v>106860.44</v>
      </c>
      <c r="I198" s="18"/>
      <c r="J198" s="18"/>
      <c r="K198" s="18"/>
      <c r="L198" s="19">
        <f>SUM(F198:K198)</f>
        <v>402360.84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10049.98+5637.5</f>
        <v>15687.48</v>
      </c>
      <c r="G200" s="18">
        <f>1059.03+1262.4</f>
        <v>2321.4300000000003</v>
      </c>
      <c r="H200" s="18">
        <v>7128.34</v>
      </c>
      <c r="I200" s="18">
        <v>1557.6</v>
      </c>
      <c r="J200" s="18">
        <v>1112.8499999999999</v>
      </c>
      <c r="K200" s="18">
        <v>9011.98</v>
      </c>
      <c r="L200" s="19">
        <f>SUM(F200:K200)</f>
        <v>36819.679999999993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41050.1+47166.46+32999.98</f>
        <v>121216.54000000001</v>
      </c>
      <c r="G202" s="18">
        <f>3291.8+3813.98+2646.26</f>
        <v>9752.0400000000009</v>
      </c>
      <c r="H202" s="18">
        <f>4254+67900.92+32482.9</f>
        <v>104637.82</v>
      </c>
      <c r="I202" s="18">
        <f>143.27+1382.74+342.53+502.25</f>
        <v>2370.79</v>
      </c>
      <c r="J202" s="18">
        <f>1067.86+556.5</f>
        <v>1624.36</v>
      </c>
      <c r="K202" s="18">
        <v>129</v>
      </c>
      <c r="L202" s="19">
        <f t="shared" ref="L202:L208" si="0">SUM(F202:K202)</f>
        <v>239730.55000000002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5250+180+49194.08</f>
        <v>54624.08</v>
      </c>
      <c r="G203" s="18">
        <f>1232.28+10159.8+31745.56</f>
        <v>43137.64</v>
      </c>
      <c r="H203" s="18">
        <f>2094.02+198+858.2</f>
        <v>3150.2200000000003</v>
      </c>
      <c r="I203" s="18">
        <f>59.3+8541.48</f>
        <v>8600.7799999999988</v>
      </c>
      <c r="J203" s="18">
        <v>402.26</v>
      </c>
      <c r="K203" s="18">
        <v>626</v>
      </c>
      <c r="L203" s="19">
        <f t="shared" si="0"/>
        <v>110540.98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6459.5+2450</f>
        <v>8909.5</v>
      </c>
      <c r="G204" s="18">
        <f>530.53+202.13</f>
        <v>732.66</v>
      </c>
      <c r="H204" s="18">
        <f>227.98+200+8500+5224+175027</f>
        <v>189178.98</v>
      </c>
      <c r="I204" s="18">
        <v>1724.76</v>
      </c>
      <c r="J204" s="18"/>
      <c r="K204" s="18"/>
      <c r="L204" s="19">
        <f t="shared" si="0"/>
        <v>200545.90000000002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127542.21</v>
      </c>
      <c r="G205" s="18">
        <v>36139.54</v>
      </c>
      <c r="H205" s="18">
        <v>2724.44</v>
      </c>
      <c r="I205" s="18">
        <f>3503.09+455.17</f>
        <v>3958.26</v>
      </c>
      <c r="J205" s="18"/>
      <c r="K205" s="18"/>
      <c r="L205" s="19">
        <f t="shared" si="0"/>
        <v>170364.45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108823.08</v>
      </c>
      <c r="G207" s="18">
        <v>53355.99</v>
      </c>
      <c r="H207" s="18">
        <v>46828.93</v>
      </c>
      <c r="I207" s="18">
        <v>94967.94</v>
      </c>
      <c r="J207" s="18">
        <v>1006.16</v>
      </c>
      <c r="K207" s="18"/>
      <c r="L207" s="19">
        <f t="shared" si="0"/>
        <v>304982.09999999998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94661.25+20914+9895.43+2645</f>
        <v>128115.68</v>
      </c>
      <c r="I208" s="18"/>
      <c r="J208" s="18"/>
      <c r="K208" s="18"/>
      <c r="L208" s="19">
        <f t="shared" si="0"/>
        <v>128115.68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165.26</v>
      </c>
      <c r="H209" s="18">
        <f>1905+10875.14</f>
        <v>12780.14</v>
      </c>
      <c r="I209" s="18">
        <v>3016.36</v>
      </c>
      <c r="J209" s="18">
        <v>27756.78</v>
      </c>
      <c r="K209" s="18"/>
      <c r="L209" s="19">
        <f>SUM(F209:K209)</f>
        <v>43718.54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1672267.2000000002</v>
      </c>
      <c r="G211" s="41">
        <f t="shared" si="1"/>
        <v>599871</v>
      </c>
      <c r="H211" s="41">
        <f t="shared" si="1"/>
        <v>607019.24000000011</v>
      </c>
      <c r="I211" s="41">
        <f t="shared" si="1"/>
        <v>158022.15</v>
      </c>
      <c r="J211" s="41">
        <f t="shared" si="1"/>
        <v>49985.24</v>
      </c>
      <c r="K211" s="41">
        <f t="shared" si="1"/>
        <v>9766.98</v>
      </c>
      <c r="L211" s="41">
        <f t="shared" si="1"/>
        <v>3096931.8100000005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887946.66</v>
      </c>
      <c r="I233" s="18"/>
      <c r="J233" s="18"/>
      <c r="K233" s="18"/>
      <c r="L233" s="19">
        <f>SUM(F233:K233)</f>
        <v>887946.66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231977.04</v>
      </c>
      <c r="I234" s="18"/>
      <c r="J234" s="18"/>
      <c r="K234" s="18"/>
      <c r="L234" s="19">
        <f>SUM(F234:K234)</f>
        <v>231977.04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29247.39+18695.1</f>
        <v>47942.49</v>
      </c>
      <c r="I244" s="18"/>
      <c r="J244" s="18"/>
      <c r="K244" s="18"/>
      <c r="L244" s="19">
        <f t="shared" si="4"/>
        <v>47942.49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1167866.19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1167866.19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>
        <v>8895</v>
      </c>
      <c r="L253" s="19">
        <f t="shared" si="6"/>
        <v>8895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8895</v>
      </c>
      <c r="L256" s="41">
        <f>SUM(F256:K256)</f>
        <v>8895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1672267.2000000002</v>
      </c>
      <c r="G257" s="41">
        <f t="shared" si="8"/>
        <v>599871</v>
      </c>
      <c r="H257" s="41">
        <f t="shared" si="8"/>
        <v>1774885.4300000002</v>
      </c>
      <c r="I257" s="41">
        <f t="shared" si="8"/>
        <v>158022.15</v>
      </c>
      <c r="J257" s="41">
        <f t="shared" si="8"/>
        <v>49985.24</v>
      </c>
      <c r="K257" s="41">
        <f t="shared" si="8"/>
        <v>18661.98</v>
      </c>
      <c r="L257" s="41">
        <f t="shared" si="8"/>
        <v>4273693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567370.26</v>
      </c>
      <c r="L260" s="19">
        <f>SUM(F260:K260)</f>
        <v>567370.26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252460.99</v>
      </c>
      <c r="L261" s="19">
        <f>SUM(F261:K261)</f>
        <v>252460.99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33094.01</v>
      </c>
      <c r="L263" s="19">
        <f>SUM(F263:K263)</f>
        <v>33094.01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20000</v>
      </c>
      <c r="L269" s="19">
        <f t="shared" si="9"/>
        <v>20000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872925.26</v>
      </c>
      <c r="L270" s="41">
        <f t="shared" si="9"/>
        <v>872925.26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1672267.2000000002</v>
      </c>
      <c r="G271" s="42">
        <f t="shared" si="11"/>
        <v>599871</v>
      </c>
      <c r="H271" s="42">
        <f t="shared" si="11"/>
        <v>1774885.4300000002</v>
      </c>
      <c r="I271" s="42">
        <f t="shared" si="11"/>
        <v>158022.15</v>
      </c>
      <c r="J271" s="42">
        <f t="shared" si="11"/>
        <v>49985.24</v>
      </c>
      <c r="K271" s="42">
        <f t="shared" si="11"/>
        <v>891587.24</v>
      </c>
      <c r="L271" s="42">
        <f t="shared" si="11"/>
        <v>5146618.26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33051.08</f>
        <v>33051.08</v>
      </c>
      <c r="G276" s="18">
        <f>115.6+2528.38+130.26</f>
        <v>2774.24</v>
      </c>
      <c r="H276" s="18"/>
      <c r="I276" s="18"/>
      <c r="J276" s="18">
        <f>5308.75</f>
        <v>5308.75</v>
      </c>
      <c r="K276" s="18"/>
      <c r="L276" s="19">
        <f>SUM(F276:K276)</f>
        <v>41134.07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6638.97</f>
        <v>6638.97</v>
      </c>
      <c r="G277" s="18">
        <f>507.85+26.69</f>
        <v>534.54000000000008</v>
      </c>
      <c r="H277" s="18"/>
      <c r="I277" s="18">
        <v>5042.74</v>
      </c>
      <c r="J277" s="18"/>
      <c r="K277" s="18"/>
      <c r="L277" s="19">
        <f>SUM(F277:K277)</f>
        <v>12216.25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2890.5</v>
      </c>
      <c r="G279" s="18">
        <f>221.13+17.34</f>
        <v>238.47</v>
      </c>
      <c r="H279" s="18"/>
      <c r="I279" s="18"/>
      <c r="J279" s="18"/>
      <c r="K279" s="18"/>
      <c r="L279" s="19">
        <f>SUM(F279:K279)</f>
        <v>3128.97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>
        <v>1362.5</v>
      </c>
      <c r="I281" s="18"/>
      <c r="J281" s="18"/>
      <c r="K281" s="18"/>
      <c r="L281" s="19">
        <f t="shared" ref="L281:L287" si="12">SUM(F281:K281)</f>
        <v>1362.5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5220</v>
      </c>
      <c r="G282" s="18">
        <f>399.35+28.63</f>
        <v>427.98</v>
      </c>
      <c r="H282" s="18">
        <f>639.96+7512</f>
        <v>8151.96</v>
      </c>
      <c r="I282" s="18"/>
      <c r="J282" s="18"/>
      <c r="K282" s="18"/>
      <c r="L282" s="19">
        <f t="shared" si="12"/>
        <v>13799.939999999999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6162.29</v>
      </c>
      <c r="L285" s="19">
        <f t="shared" si="12"/>
        <v>6162.29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7153.65</v>
      </c>
      <c r="I287" s="18"/>
      <c r="J287" s="18"/>
      <c r="K287" s="18"/>
      <c r="L287" s="19">
        <f t="shared" si="12"/>
        <v>7153.65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47800.55</v>
      </c>
      <c r="G290" s="42">
        <f t="shared" si="13"/>
        <v>3975.2299999999996</v>
      </c>
      <c r="H290" s="42">
        <f t="shared" si="13"/>
        <v>16668.11</v>
      </c>
      <c r="I290" s="42">
        <f t="shared" si="13"/>
        <v>5042.74</v>
      </c>
      <c r="J290" s="42">
        <f t="shared" si="13"/>
        <v>5308.75</v>
      </c>
      <c r="K290" s="42">
        <f t="shared" si="13"/>
        <v>6162.29</v>
      </c>
      <c r="L290" s="41">
        <f t="shared" si="13"/>
        <v>84957.669999999984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47800.55</v>
      </c>
      <c r="G338" s="41">
        <f t="shared" si="20"/>
        <v>3975.2299999999996</v>
      </c>
      <c r="H338" s="41">
        <f t="shared" si="20"/>
        <v>16668.11</v>
      </c>
      <c r="I338" s="41">
        <f t="shared" si="20"/>
        <v>5042.74</v>
      </c>
      <c r="J338" s="41">
        <f t="shared" si="20"/>
        <v>5308.75</v>
      </c>
      <c r="K338" s="41">
        <f t="shared" si="20"/>
        <v>6162.29</v>
      </c>
      <c r="L338" s="41">
        <f t="shared" si="20"/>
        <v>84957.669999999984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47800.55</v>
      </c>
      <c r="G352" s="41">
        <f>G338</f>
        <v>3975.2299999999996</v>
      </c>
      <c r="H352" s="41">
        <f>H338</f>
        <v>16668.11</v>
      </c>
      <c r="I352" s="41">
        <f>I338</f>
        <v>5042.74</v>
      </c>
      <c r="J352" s="41">
        <f>J338</f>
        <v>5308.75</v>
      </c>
      <c r="K352" s="47">
        <f>K338+K351</f>
        <v>6162.29</v>
      </c>
      <c r="L352" s="41">
        <f>L338+L351</f>
        <v>84957.669999999984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41111.74</v>
      </c>
      <c r="G358" s="18">
        <f>19409.2+503+38.39+95.84+3016.83+2702.62+950.27</f>
        <v>26716.15</v>
      </c>
      <c r="H358" s="18">
        <f>6000</f>
        <v>6000</v>
      </c>
      <c r="I358" s="18">
        <f>2861.19+61183.18+802.5+325</f>
        <v>65171.87</v>
      </c>
      <c r="J358" s="18"/>
      <c r="K358" s="18"/>
      <c r="L358" s="13">
        <f>SUM(F358:K358)</f>
        <v>138999.76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41111.74</v>
      </c>
      <c r="G362" s="47">
        <f t="shared" si="22"/>
        <v>26716.15</v>
      </c>
      <c r="H362" s="47">
        <f t="shared" si="22"/>
        <v>6000</v>
      </c>
      <c r="I362" s="47">
        <f t="shared" si="22"/>
        <v>65171.87</v>
      </c>
      <c r="J362" s="47">
        <f t="shared" si="22"/>
        <v>0</v>
      </c>
      <c r="K362" s="47">
        <f t="shared" si="22"/>
        <v>0</v>
      </c>
      <c r="L362" s="47">
        <f t="shared" si="22"/>
        <v>138999.76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61183.18+802.5</f>
        <v>61985.68</v>
      </c>
      <c r="G367" s="18"/>
      <c r="H367" s="18"/>
      <c r="I367" s="56">
        <f>SUM(F367:H367)</f>
        <v>61985.68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2861.19+325</f>
        <v>3186.19</v>
      </c>
      <c r="G368" s="63"/>
      <c r="H368" s="63"/>
      <c r="I368" s="56">
        <f>SUM(F368:H368)</f>
        <v>3186.19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65171.87</v>
      </c>
      <c r="G369" s="47">
        <f>SUM(G367:G368)</f>
        <v>0</v>
      </c>
      <c r="H369" s="47">
        <f>SUM(H367:H368)</f>
        <v>0</v>
      </c>
      <c r="I369" s="47">
        <f>SUM(I367:I368)</f>
        <v>65171.87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1485.78</v>
      </c>
      <c r="I389" s="18"/>
      <c r="J389" s="24" t="s">
        <v>288</v>
      </c>
      <c r="K389" s="24" t="s">
        <v>288</v>
      </c>
      <c r="L389" s="56">
        <f t="shared" si="25"/>
        <v>1485.78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1485.78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1485.78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3590.44</v>
      </c>
      <c r="I398" s="18"/>
      <c r="J398" s="24" t="s">
        <v>288</v>
      </c>
      <c r="K398" s="24" t="s">
        <v>288</v>
      </c>
      <c r="L398" s="56">
        <f t="shared" si="26"/>
        <v>3590.44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3590.44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3590.44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5076.22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5076.22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337834.72</v>
      </c>
      <c r="G440" s="18">
        <v>226954.38</v>
      </c>
      <c r="H440" s="18"/>
      <c r="I440" s="56">
        <f t="shared" si="33"/>
        <v>564789.1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337834.72</v>
      </c>
      <c r="G446" s="13">
        <f>SUM(G439:G445)</f>
        <v>226954.38</v>
      </c>
      <c r="H446" s="13">
        <f>SUM(H439:H445)</f>
        <v>0</v>
      </c>
      <c r="I446" s="13">
        <f>SUM(I439:I445)</f>
        <v>564789.1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337834.72</v>
      </c>
      <c r="G459" s="18">
        <v>226954.38</v>
      </c>
      <c r="H459" s="18"/>
      <c r="I459" s="56">
        <f t="shared" si="34"/>
        <v>564789.1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337834.72</v>
      </c>
      <c r="G460" s="83">
        <f>SUM(G454:G459)</f>
        <v>226954.38</v>
      </c>
      <c r="H460" s="83">
        <f>SUM(H454:H459)</f>
        <v>0</v>
      </c>
      <c r="I460" s="83">
        <f>SUM(I454:I459)</f>
        <v>564789.1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337834.72</v>
      </c>
      <c r="G461" s="42">
        <f>G452+G460</f>
        <v>226954.38</v>
      </c>
      <c r="H461" s="42">
        <f>H452+H460</f>
        <v>0</v>
      </c>
      <c r="I461" s="42">
        <f>I452+I460</f>
        <v>564789.1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232422.12</v>
      </c>
      <c r="G465" s="18">
        <v>0</v>
      </c>
      <c r="H465" s="18">
        <v>0</v>
      </c>
      <c r="I465" s="18">
        <v>0</v>
      </c>
      <c r="J465" s="18">
        <v>559712.88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5328177</v>
      </c>
      <c r="G468" s="18">
        <f>G193</f>
        <v>138999.76</v>
      </c>
      <c r="H468" s="18">
        <f>H193</f>
        <v>132085.32</v>
      </c>
      <c r="I468" s="18">
        <v>0</v>
      </c>
      <c r="J468" s="18">
        <f>J193</f>
        <v>5076.22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5328177</v>
      </c>
      <c r="G470" s="53">
        <f>SUM(G468:G469)</f>
        <v>138999.76</v>
      </c>
      <c r="H470" s="53">
        <f>SUM(H468:H469)</f>
        <v>132085.32</v>
      </c>
      <c r="I470" s="53">
        <f>SUM(I468:I469)</f>
        <v>0</v>
      </c>
      <c r="J470" s="53">
        <f>SUM(J468:J469)</f>
        <v>5076.22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5146618.26</v>
      </c>
      <c r="G472" s="18">
        <f>L362</f>
        <v>138999.76</v>
      </c>
      <c r="H472" s="18">
        <f>L352</f>
        <v>84957.669999999984</v>
      </c>
      <c r="I472" s="18">
        <f>L382</f>
        <v>0</v>
      </c>
      <c r="J472" s="18">
        <f>L434</f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5146618.26</v>
      </c>
      <c r="G474" s="53">
        <f>SUM(G472:G473)</f>
        <v>138999.76</v>
      </c>
      <c r="H474" s="53">
        <f>SUM(H472:H473)</f>
        <v>84957.669999999984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413980.86000000034</v>
      </c>
      <c r="G476" s="53">
        <f>(G465+G470)- G474</f>
        <v>0</v>
      </c>
      <c r="H476" s="53">
        <f>(H465+H470)- H474</f>
        <v>47127.650000000023</v>
      </c>
      <c r="I476" s="53">
        <f>(I465+I470)- I474</f>
        <v>0</v>
      </c>
      <c r="J476" s="53">
        <f>(J465+J470)- J474</f>
        <v>564789.1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10960000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4.33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5711790.9000000004</v>
      </c>
      <c r="G495" s="18"/>
      <c r="H495" s="18"/>
      <c r="I495" s="18"/>
      <c r="J495" s="18"/>
      <c r="K495" s="53">
        <f>SUM(F495:J495)</f>
        <v>5711790.9000000004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567370.26</v>
      </c>
      <c r="G497" s="18"/>
      <c r="H497" s="18"/>
      <c r="I497" s="18"/>
      <c r="J497" s="18"/>
      <c r="K497" s="53">
        <f t="shared" si="35"/>
        <v>567370.26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5144420.6399999997</v>
      </c>
      <c r="G498" s="204"/>
      <c r="H498" s="204"/>
      <c r="I498" s="204"/>
      <c r="J498" s="204"/>
      <c r="K498" s="205">
        <f t="shared" si="35"/>
        <v>5144420.6399999997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4191281.86</v>
      </c>
      <c r="G499" s="18"/>
      <c r="H499" s="18"/>
      <c r="I499" s="18"/>
      <c r="J499" s="18"/>
      <c r="K499" s="53">
        <f t="shared" si="35"/>
        <v>4191281.86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9335702.5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9335702.5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f>439574.42+102979.82</f>
        <v>542554.24</v>
      </c>
      <c r="G501" s="204"/>
      <c r="H501" s="204"/>
      <c r="I501" s="204"/>
      <c r="J501" s="204"/>
      <c r="K501" s="205">
        <f t="shared" si="35"/>
        <v>542554.24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207320.08+41052.18</f>
        <v>248372.25999999998</v>
      </c>
      <c r="G502" s="18"/>
      <c r="H502" s="18"/>
      <c r="I502" s="18"/>
      <c r="J502" s="18"/>
      <c r="K502" s="53">
        <f t="shared" si="35"/>
        <v>248372.25999999998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790926.5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790926.5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106954.49+39101.55+97122.75+6638.97</f>
        <v>249817.76</v>
      </c>
      <c r="G521" s="18">
        <f>17288.58+920+72.4+707.79+18249.66+14174.46+908.72+507.85+26.69</f>
        <v>52856.150000000009</v>
      </c>
      <c r="H521" s="18">
        <f>93933.56+12926.88</f>
        <v>106860.44</v>
      </c>
      <c r="I521" s="18">
        <v>5042.74</v>
      </c>
      <c r="J521" s="18"/>
      <c r="K521" s="18"/>
      <c r="L521" s="88">
        <f>SUM(F521:K521)</f>
        <v>414577.09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231977.04</v>
      </c>
      <c r="I523" s="18"/>
      <c r="J523" s="18"/>
      <c r="K523" s="18"/>
      <c r="L523" s="88">
        <f>SUM(F523:K523)</f>
        <v>231977.04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249817.76</v>
      </c>
      <c r="G524" s="108">
        <f t="shared" ref="G524:L524" si="36">SUM(G521:G523)</f>
        <v>52856.150000000009</v>
      </c>
      <c r="H524" s="108">
        <f t="shared" si="36"/>
        <v>338837.48</v>
      </c>
      <c r="I524" s="108">
        <f t="shared" si="36"/>
        <v>5042.74</v>
      </c>
      <c r="J524" s="108">
        <f t="shared" si="36"/>
        <v>0</v>
      </c>
      <c r="K524" s="108">
        <f t="shared" si="36"/>
        <v>0</v>
      </c>
      <c r="L524" s="89">
        <f t="shared" si="36"/>
        <v>646554.13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32999.98</f>
        <v>32999.980000000003</v>
      </c>
      <c r="G526" s="18">
        <f>2524.34+121.92</f>
        <v>2646.26</v>
      </c>
      <c r="H526" s="18">
        <f>3012.5+67900.92+30883.65+1599.25+858.2</f>
        <v>104254.52</v>
      </c>
      <c r="I526" s="18">
        <f>342.53+502.25</f>
        <v>844.78</v>
      </c>
      <c r="J526" s="18">
        <f>556.5</f>
        <v>556.5</v>
      </c>
      <c r="K526" s="18"/>
      <c r="L526" s="88">
        <f>SUM(F526:K526)</f>
        <v>141302.04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32999.980000000003</v>
      </c>
      <c r="G529" s="89">
        <f t="shared" ref="G529:L529" si="37">SUM(G526:G528)</f>
        <v>2646.26</v>
      </c>
      <c r="H529" s="89">
        <f t="shared" si="37"/>
        <v>104254.52</v>
      </c>
      <c r="I529" s="89">
        <f t="shared" si="37"/>
        <v>844.78</v>
      </c>
      <c r="J529" s="89">
        <f t="shared" si="37"/>
        <v>556.5</v>
      </c>
      <c r="K529" s="89">
        <f t="shared" si="37"/>
        <v>0</v>
      </c>
      <c r="L529" s="89">
        <f t="shared" si="37"/>
        <v>141302.04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18359</v>
      </c>
      <c r="I531" s="18"/>
      <c r="J531" s="18"/>
      <c r="K531" s="18">
        <v>1571.28</v>
      </c>
      <c r="L531" s="88">
        <f>SUM(F531:K531)</f>
        <v>19930.28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18359</v>
      </c>
      <c r="I534" s="89">
        <f t="shared" si="38"/>
        <v>0</v>
      </c>
      <c r="J534" s="89">
        <f t="shared" si="38"/>
        <v>0</v>
      </c>
      <c r="K534" s="89">
        <f t="shared" si="38"/>
        <v>1571.28</v>
      </c>
      <c r="L534" s="89">
        <f t="shared" si="38"/>
        <v>19930.28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20914</f>
        <v>20914</v>
      </c>
      <c r="I541" s="18"/>
      <c r="J541" s="18"/>
      <c r="K541" s="18"/>
      <c r="L541" s="88">
        <f>SUM(F541:K541)</f>
        <v>20914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18695.099999999999</v>
      </c>
      <c r="I543" s="18"/>
      <c r="J543" s="18"/>
      <c r="K543" s="18"/>
      <c r="L543" s="88">
        <f>SUM(F543:K543)</f>
        <v>18695.099999999999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39609.1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39609.1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282817.74</v>
      </c>
      <c r="G545" s="89">
        <f t="shared" ref="G545:L545" si="41">G524+G529+G534+G539+G544</f>
        <v>55502.410000000011</v>
      </c>
      <c r="H545" s="89">
        <f t="shared" si="41"/>
        <v>501060.1</v>
      </c>
      <c r="I545" s="89">
        <f t="shared" si="41"/>
        <v>5887.5199999999995</v>
      </c>
      <c r="J545" s="89">
        <f t="shared" si="41"/>
        <v>556.5</v>
      </c>
      <c r="K545" s="89">
        <f t="shared" si="41"/>
        <v>1571.28</v>
      </c>
      <c r="L545" s="89">
        <f t="shared" si="41"/>
        <v>847395.55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414577.09</v>
      </c>
      <c r="G549" s="87">
        <f>L526</f>
        <v>141302.04</v>
      </c>
      <c r="H549" s="87">
        <f>L531</f>
        <v>19930.28</v>
      </c>
      <c r="I549" s="87">
        <f>L536</f>
        <v>0</v>
      </c>
      <c r="J549" s="87">
        <f>L541</f>
        <v>20914</v>
      </c>
      <c r="K549" s="87">
        <f>SUM(F549:J549)</f>
        <v>596723.41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231977.04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18695.099999999999</v>
      </c>
      <c r="K551" s="87">
        <f>SUM(F551:J551)</f>
        <v>250672.14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646554.13</v>
      </c>
      <c r="G552" s="89">
        <f t="shared" si="42"/>
        <v>141302.04</v>
      </c>
      <c r="H552" s="89">
        <f t="shared" si="42"/>
        <v>19930.28</v>
      </c>
      <c r="I552" s="89">
        <f t="shared" si="42"/>
        <v>0</v>
      </c>
      <c r="J552" s="89">
        <f t="shared" si="42"/>
        <v>39609.1</v>
      </c>
      <c r="K552" s="89">
        <f t="shared" si="42"/>
        <v>847395.55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887946.66</v>
      </c>
      <c r="I575" s="87">
        <f>SUM(F575:H575)</f>
        <v>887946.66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12926.88</v>
      </c>
      <c r="G579" s="18"/>
      <c r="H579" s="18">
        <v>187410.18</v>
      </c>
      <c r="I579" s="87">
        <f t="shared" si="47"/>
        <v>200337.06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93933.56</v>
      </c>
      <c r="G582" s="18"/>
      <c r="H582" s="18">
        <v>44566.86</v>
      </c>
      <c r="I582" s="87">
        <f t="shared" si="47"/>
        <v>138500.41999999998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94661.25</v>
      </c>
      <c r="I591" s="18"/>
      <c r="J591" s="18">
        <v>29247.39</v>
      </c>
      <c r="K591" s="104">
        <f t="shared" ref="K591:K597" si="48">SUM(H591:J591)</f>
        <v>123908.64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20914</v>
      </c>
      <c r="I592" s="18"/>
      <c r="J592" s="18">
        <v>18695.099999999999</v>
      </c>
      <c r="K592" s="104">
        <f t="shared" si="48"/>
        <v>39609.1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9895.43</v>
      </c>
      <c r="I594" s="18"/>
      <c r="J594" s="18"/>
      <c r="K594" s="104">
        <f t="shared" si="48"/>
        <v>9895.43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2645</v>
      </c>
      <c r="I595" s="18"/>
      <c r="J595" s="18"/>
      <c r="K595" s="104">
        <f t="shared" si="48"/>
        <v>2645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128115.68</v>
      </c>
      <c r="I598" s="108">
        <f>SUM(I591:I597)</f>
        <v>0</v>
      </c>
      <c r="J598" s="108">
        <f>SUM(J591:J597)</f>
        <v>47942.49</v>
      </c>
      <c r="K598" s="108">
        <f>SUM(K591:K597)</f>
        <v>176058.16999999998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55293.99</v>
      </c>
      <c r="I604" s="18"/>
      <c r="J604" s="18"/>
      <c r="K604" s="104">
        <f>SUM(H604:J604)</f>
        <v>55293.99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55293.99</v>
      </c>
      <c r="I605" s="108">
        <f>SUM(I602:I604)</f>
        <v>0</v>
      </c>
      <c r="J605" s="108">
        <f>SUM(J602:J604)</f>
        <v>0</v>
      </c>
      <c r="K605" s="108">
        <f>SUM(K602:K604)</f>
        <v>55293.99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5637.5</v>
      </c>
      <c r="G611" s="18">
        <f>431.3+797.26+33.84</f>
        <v>1262.3999999999999</v>
      </c>
      <c r="H611" s="18"/>
      <c r="I611" s="18"/>
      <c r="J611" s="18"/>
      <c r="K611" s="18"/>
      <c r="L611" s="88">
        <f>SUM(F611:K611)</f>
        <v>6899.9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5637.5</v>
      </c>
      <c r="G614" s="108">
        <f t="shared" si="49"/>
        <v>1262.3999999999999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6899.9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452075.94999999995</v>
      </c>
      <c r="H617" s="109">
        <f>SUM(F52)</f>
        <v>452075.94999999995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8181.83</v>
      </c>
      <c r="H618" s="109">
        <f>SUM(G52)</f>
        <v>8181.83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64536.160000000003</v>
      </c>
      <c r="H619" s="109">
        <f>SUM(H52)</f>
        <v>64536.160000000003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564789.1</v>
      </c>
      <c r="H621" s="109">
        <f>SUM(J52)</f>
        <v>564789.1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413980.86</v>
      </c>
      <c r="H622" s="109">
        <f>F476</f>
        <v>413980.86000000034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47127.65</v>
      </c>
      <c r="H624" s="109">
        <f>H476</f>
        <v>47127.650000000023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564789.1</v>
      </c>
      <c r="H626" s="109">
        <f>J476</f>
        <v>564789.1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5328177</v>
      </c>
      <c r="H627" s="104">
        <f>SUM(F468)</f>
        <v>5328177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138999.76</v>
      </c>
      <c r="H628" s="104">
        <f>SUM(G468)</f>
        <v>138999.76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132085.32</v>
      </c>
      <c r="H629" s="104">
        <f>SUM(H468)</f>
        <v>132085.32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5076.22</v>
      </c>
      <c r="H631" s="104">
        <f>SUM(J468)</f>
        <v>5076.22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5146618.26</v>
      </c>
      <c r="H632" s="104">
        <f>SUM(F472)</f>
        <v>5146618.26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84957.669999999984</v>
      </c>
      <c r="H633" s="104">
        <f>SUM(H472)</f>
        <v>84957.669999999984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65171.87</v>
      </c>
      <c r="H634" s="104">
        <f>I369</f>
        <v>65171.87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138999.76</v>
      </c>
      <c r="H635" s="104">
        <f>SUM(G472)</f>
        <v>138999.76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5076.22</v>
      </c>
      <c r="H637" s="164">
        <f>SUM(J468)</f>
        <v>5076.22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337834.72</v>
      </c>
      <c r="H639" s="104">
        <f>SUM(F461)</f>
        <v>337834.72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226954.38</v>
      </c>
      <c r="H640" s="104">
        <f>SUM(G461)</f>
        <v>226954.38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564789.1</v>
      </c>
      <c r="H642" s="104">
        <f>SUM(I461)</f>
        <v>564789.1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5076.22</v>
      </c>
      <c r="H644" s="104">
        <f>H408</f>
        <v>5076.22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5076.22</v>
      </c>
      <c r="H646" s="104">
        <f>L408</f>
        <v>5076.22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176058.16999999998</v>
      </c>
      <c r="H647" s="104">
        <f>L208+L226+L244</f>
        <v>176058.16999999998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55293.99</v>
      </c>
      <c r="H648" s="104">
        <f>(J257+J338)-(J255+J336)</f>
        <v>55293.99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128115.68</v>
      </c>
      <c r="H649" s="104">
        <f>H598</f>
        <v>128115.68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47942.49</v>
      </c>
      <c r="H651" s="104">
        <f>J598</f>
        <v>47942.49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33094.01</v>
      </c>
      <c r="H652" s="104">
        <f>K263+K345</f>
        <v>33094.01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3320889.24</v>
      </c>
      <c r="G660" s="19">
        <f>(L229+L309+L359)</f>
        <v>0</v>
      </c>
      <c r="H660" s="19">
        <f>(L247+L328+L360)</f>
        <v>1167866.19</v>
      </c>
      <c r="I660" s="19">
        <f>SUM(F660:H660)</f>
        <v>4488755.43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33754.97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33754.97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135269.32999999999</v>
      </c>
      <c r="G662" s="19">
        <f>(L226+L306)-(J226+J306)</f>
        <v>0</v>
      </c>
      <c r="H662" s="19">
        <f>(L244+L325)-(J244+J325)</f>
        <v>47942.49</v>
      </c>
      <c r="I662" s="19">
        <f>SUM(F662:H662)</f>
        <v>183211.81999999998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169054.33</v>
      </c>
      <c r="G663" s="199">
        <f>SUM(G575:G587)+SUM(I602:I604)+L612</f>
        <v>0</v>
      </c>
      <c r="H663" s="199">
        <f>SUM(H575:H587)+SUM(J602:J604)+L613</f>
        <v>1119923.7000000002</v>
      </c>
      <c r="I663" s="19">
        <f>SUM(F663:H663)</f>
        <v>1288978.0300000003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2982810.6100000003</v>
      </c>
      <c r="G664" s="19">
        <f>G660-SUM(G661:G663)</f>
        <v>0</v>
      </c>
      <c r="H664" s="19">
        <f>H660-SUM(H661:H663)</f>
        <v>0</v>
      </c>
      <c r="I664" s="19">
        <f>I660-SUM(I661:I663)</f>
        <v>2982810.6099999994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178.43</v>
      </c>
      <c r="G665" s="248"/>
      <c r="H665" s="248"/>
      <c r="I665" s="19">
        <f>SUM(F665:H665)</f>
        <v>178.43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16716.98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16716.98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16716.98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16716.98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2" sqref="A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MARLBOROUGH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1025336.6</v>
      </c>
      <c r="C9" s="229">
        <f>'DOE25'!G197+'DOE25'!G215+'DOE25'!G233+'DOE25'!G276+'DOE25'!G295+'DOE25'!G314</f>
        <v>404719.07</v>
      </c>
    </row>
    <row r="10" spans="1:3" x14ac:dyDescent="0.2">
      <c r="A10" t="s">
        <v>778</v>
      </c>
      <c r="B10" s="240">
        <v>968982.9</v>
      </c>
      <c r="C10" s="240">
        <v>382475.24</v>
      </c>
    </row>
    <row r="11" spans="1:3" x14ac:dyDescent="0.2">
      <c r="A11" t="s">
        <v>779</v>
      </c>
      <c r="B11" s="240">
        <v>56353.7</v>
      </c>
      <c r="C11" s="240">
        <v>22243.83</v>
      </c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1025336.6</v>
      </c>
      <c r="C13" s="231">
        <f>SUM(C10:C12)</f>
        <v>404719.07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249817.76</v>
      </c>
      <c r="C18" s="229">
        <f>'DOE25'!G198+'DOE25'!G216+'DOE25'!G234+'DOE25'!G277+'DOE25'!G296+'DOE25'!G315</f>
        <v>52856.15</v>
      </c>
    </row>
    <row r="19" spans="1:3" x14ac:dyDescent="0.2">
      <c r="A19" t="s">
        <v>778</v>
      </c>
      <c r="B19" s="240">
        <v>106954.49</v>
      </c>
      <c r="C19" s="240">
        <v>22629.31</v>
      </c>
    </row>
    <row r="20" spans="1:3" x14ac:dyDescent="0.2">
      <c r="A20" t="s">
        <v>779</v>
      </c>
      <c r="B20" s="240">
        <v>142863.26999999999</v>
      </c>
      <c r="C20" s="240">
        <v>30226.84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249817.76</v>
      </c>
      <c r="C22" s="231">
        <f>SUM(C19:C21)</f>
        <v>52856.15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18577.98</v>
      </c>
      <c r="C36" s="235">
        <f>'DOE25'!G200+'DOE25'!G218+'DOE25'!G236+'DOE25'!G279+'DOE25'!G298+'DOE25'!G317</f>
        <v>2559.9</v>
      </c>
    </row>
    <row r="37" spans="1:3" x14ac:dyDescent="0.2">
      <c r="A37" t="s">
        <v>778</v>
      </c>
      <c r="B37" s="240">
        <v>15687.48</v>
      </c>
      <c r="C37" s="240">
        <v>2161.61</v>
      </c>
    </row>
    <row r="38" spans="1:3" x14ac:dyDescent="0.2">
      <c r="A38" t="s">
        <v>779</v>
      </c>
      <c r="B38" s="240">
        <v>2890.5</v>
      </c>
      <c r="C38" s="240">
        <v>398.29</v>
      </c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18577.98</v>
      </c>
      <c r="C40" s="231">
        <f>SUM(C37:C39)</f>
        <v>2559.9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MARLBOROUGH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3018857.31</v>
      </c>
      <c r="D5" s="20">
        <f>SUM('DOE25'!L197:L200)+SUM('DOE25'!L215:L218)+SUM('DOE25'!L233:L236)-F5-G5</f>
        <v>2990649.65</v>
      </c>
      <c r="E5" s="243"/>
      <c r="F5" s="255">
        <f>SUM('DOE25'!J197:J200)+SUM('DOE25'!J215:J218)+SUM('DOE25'!J233:J236)</f>
        <v>19195.68</v>
      </c>
      <c r="G5" s="53">
        <f>SUM('DOE25'!K197:K200)+SUM('DOE25'!K215:K218)+SUM('DOE25'!K233:K236)</f>
        <v>9011.98</v>
      </c>
      <c r="H5" s="259"/>
    </row>
    <row r="6" spans="1:9" x14ac:dyDescent="0.2">
      <c r="A6" s="32">
        <v>2100</v>
      </c>
      <c r="B6" t="s">
        <v>800</v>
      </c>
      <c r="C6" s="245">
        <f t="shared" si="0"/>
        <v>239730.55000000002</v>
      </c>
      <c r="D6" s="20">
        <f>'DOE25'!L202+'DOE25'!L220+'DOE25'!L238-F6-G6</f>
        <v>237977.19000000003</v>
      </c>
      <c r="E6" s="243"/>
      <c r="F6" s="255">
        <f>'DOE25'!J202+'DOE25'!J220+'DOE25'!J238</f>
        <v>1624.36</v>
      </c>
      <c r="G6" s="53">
        <f>'DOE25'!K202+'DOE25'!K220+'DOE25'!K238</f>
        <v>129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110540.98</v>
      </c>
      <c r="D7" s="20">
        <f>'DOE25'!L203+'DOE25'!L221+'DOE25'!L239-F7-G7</f>
        <v>109512.72</v>
      </c>
      <c r="E7" s="243"/>
      <c r="F7" s="255">
        <f>'DOE25'!J203+'DOE25'!J221+'DOE25'!J239</f>
        <v>402.26</v>
      </c>
      <c r="G7" s="53">
        <f>'DOE25'!K203+'DOE25'!K221+'DOE25'!K239</f>
        <v>626</v>
      </c>
      <c r="H7" s="259"/>
    </row>
    <row r="8" spans="1:9" x14ac:dyDescent="0.2">
      <c r="A8" s="32">
        <v>2300</v>
      </c>
      <c r="B8" t="s">
        <v>801</v>
      </c>
      <c r="C8" s="245">
        <f t="shared" si="0"/>
        <v>148345.00000000003</v>
      </c>
      <c r="D8" s="243"/>
      <c r="E8" s="20">
        <f>'DOE25'!L204+'DOE25'!L222+'DOE25'!L240-F8-G8-D9-D11</f>
        <v>148345.00000000003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25518.9</v>
      </c>
      <c r="D9" s="244">
        <v>25518.9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8500</v>
      </c>
      <c r="D10" s="243"/>
      <c r="E10" s="244">
        <v>8500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26682</v>
      </c>
      <c r="D11" s="244">
        <v>26682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170364.45</v>
      </c>
      <c r="D12" s="20">
        <f>'DOE25'!L205+'DOE25'!L223+'DOE25'!L241-F12-G12</f>
        <v>170364.45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304982.09999999998</v>
      </c>
      <c r="D14" s="20">
        <f>'DOE25'!L207+'DOE25'!L225+'DOE25'!L243-F14-G14</f>
        <v>303975.94</v>
      </c>
      <c r="E14" s="243"/>
      <c r="F14" s="255">
        <f>'DOE25'!J207+'DOE25'!J225+'DOE25'!J243</f>
        <v>1006.16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176058.16999999998</v>
      </c>
      <c r="D15" s="20">
        <f>'DOE25'!L208+'DOE25'!L226+'DOE25'!L244-F15-G15</f>
        <v>176058.16999999998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43718.54</v>
      </c>
      <c r="D16" s="243"/>
      <c r="E16" s="20">
        <f>'DOE25'!L209+'DOE25'!L227+'DOE25'!L245-F16-G16</f>
        <v>15961.760000000002</v>
      </c>
      <c r="F16" s="255">
        <f>'DOE25'!J209+'DOE25'!J227+'DOE25'!J245</f>
        <v>27756.78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8895</v>
      </c>
      <c r="D19" s="20">
        <f>'DOE25'!L253-F19-G19</f>
        <v>0</v>
      </c>
      <c r="E19" s="243"/>
      <c r="F19" s="255">
        <f>'DOE25'!J253</f>
        <v>0</v>
      </c>
      <c r="G19" s="53">
        <f>'DOE25'!K253</f>
        <v>8895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819831.25</v>
      </c>
      <c r="D25" s="243"/>
      <c r="E25" s="243"/>
      <c r="F25" s="258"/>
      <c r="G25" s="256"/>
      <c r="H25" s="257">
        <f>'DOE25'!L260+'DOE25'!L261+'DOE25'!L341+'DOE25'!L342</f>
        <v>819831.25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77014.080000000016</v>
      </c>
      <c r="D29" s="20">
        <f>'DOE25'!L358+'DOE25'!L359+'DOE25'!L360-'DOE25'!I367-F29-G29</f>
        <v>77014.080000000016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84957.669999999984</v>
      </c>
      <c r="D31" s="20">
        <f>'DOE25'!L290+'DOE25'!L309+'DOE25'!L328+'DOE25'!L333+'DOE25'!L334+'DOE25'!L335-F31-G31</f>
        <v>73486.62999999999</v>
      </c>
      <c r="E31" s="243"/>
      <c r="F31" s="255">
        <f>'DOE25'!J290+'DOE25'!J309+'DOE25'!J328+'DOE25'!J333+'DOE25'!J334+'DOE25'!J335</f>
        <v>5308.75</v>
      </c>
      <c r="G31" s="53">
        <f>'DOE25'!K290+'DOE25'!K309+'DOE25'!K328+'DOE25'!K333+'DOE25'!K334+'DOE25'!K335</f>
        <v>6162.29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4191239.73</v>
      </c>
      <c r="E33" s="246">
        <f>SUM(E5:E31)</f>
        <v>172806.76000000004</v>
      </c>
      <c r="F33" s="246">
        <f>SUM(F5:F31)</f>
        <v>55293.99</v>
      </c>
      <c r="G33" s="246">
        <f>SUM(G5:G31)</f>
        <v>24824.27</v>
      </c>
      <c r="H33" s="246">
        <f>SUM(H5:H31)</f>
        <v>819831.25</v>
      </c>
    </row>
    <row r="35" spans="2:8" ht="12" thickBot="1" x14ac:dyDescent="0.25">
      <c r="B35" s="253" t="s">
        <v>846</v>
      </c>
      <c r="D35" s="254">
        <f>E33</f>
        <v>172806.76000000004</v>
      </c>
      <c r="E35" s="249"/>
    </row>
    <row r="36" spans="2:8" ht="12" thickTop="1" x14ac:dyDescent="0.2">
      <c r="B36" t="s">
        <v>814</v>
      </c>
      <c r="D36" s="20">
        <f>D33</f>
        <v>4191239.73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MARLBOROUGH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269363.33999999997</v>
      </c>
      <c r="D8" s="95">
        <f>'DOE25'!G9</f>
        <v>0</v>
      </c>
      <c r="E8" s="95">
        <f>'DOE25'!H9</f>
        <v>47127.65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147108.06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564789.1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22736.3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12868.25</v>
      </c>
      <c r="D12" s="95">
        <f>'DOE25'!G13</f>
        <v>7593.76</v>
      </c>
      <c r="E12" s="95">
        <f>'DOE25'!H13</f>
        <v>17408.509999999998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588.07000000000005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452075.94999999995</v>
      </c>
      <c r="D18" s="41">
        <f>SUM(D8:D17)</f>
        <v>8181.83</v>
      </c>
      <c r="E18" s="41">
        <f>SUM(E8:E17)</f>
        <v>64536.160000000003</v>
      </c>
      <c r="F18" s="41">
        <f>SUM(F8:F17)</f>
        <v>0</v>
      </c>
      <c r="G18" s="41">
        <f>SUM(G8:G17)</f>
        <v>564789.1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6689.22</v>
      </c>
      <c r="E21" s="95">
        <f>'DOE25'!H22</f>
        <v>16047.08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21274.42</v>
      </c>
      <c r="D22" s="95">
        <f>'DOE25'!G23</f>
        <v>0</v>
      </c>
      <c r="E22" s="95">
        <f>'DOE25'!H23</f>
        <v>1361.43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12025.4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4795.2700000000004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1492.61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38095.089999999997</v>
      </c>
      <c r="D31" s="41">
        <f>SUM(D21:D30)</f>
        <v>8181.83</v>
      </c>
      <c r="E31" s="41">
        <f>SUM(E21:E30)</f>
        <v>17408.509999999998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564789.1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1029.95</v>
      </c>
      <c r="D48" s="95">
        <f>'DOE25'!G49</f>
        <v>0</v>
      </c>
      <c r="E48" s="95">
        <f>'DOE25'!H49</f>
        <v>47127.65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412950.91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413980.86</v>
      </c>
      <c r="D50" s="41">
        <f>SUM(D34:D49)</f>
        <v>0</v>
      </c>
      <c r="E50" s="41">
        <f>SUM(E34:E49)</f>
        <v>47127.65</v>
      </c>
      <c r="F50" s="41">
        <f>SUM(F34:F49)</f>
        <v>0</v>
      </c>
      <c r="G50" s="41">
        <f>SUM(G34:G49)</f>
        <v>564789.1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452075.94999999995</v>
      </c>
      <c r="D51" s="41">
        <f>D50+D31</f>
        <v>8181.83</v>
      </c>
      <c r="E51" s="41">
        <f>E50+E31</f>
        <v>64536.160000000003</v>
      </c>
      <c r="F51" s="41">
        <f>F50+F31</f>
        <v>0</v>
      </c>
      <c r="G51" s="41">
        <f>G50+G31</f>
        <v>564789.1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3295914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250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1422.35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5076.22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33754.97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16352.480000000001</v>
      </c>
      <c r="D61" s="95">
        <f>SUM('DOE25'!G98:G110)</f>
        <v>0</v>
      </c>
      <c r="E61" s="95">
        <f>SUM('DOE25'!H98:H110)</f>
        <v>47127.65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18024.830000000002</v>
      </c>
      <c r="D62" s="130">
        <f>SUM(D57:D61)</f>
        <v>33754.97</v>
      </c>
      <c r="E62" s="130">
        <f>SUM(E57:E61)</f>
        <v>47127.65</v>
      </c>
      <c r="F62" s="130">
        <f>SUM(F57:F61)</f>
        <v>0</v>
      </c>
      <c r="G62" s="130">
        <f>SUM(G57:G61)</f>
        <v>5076.22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3313938.83</v>
      </c>
      <c r="D63" s="22">
        <f>D56+D62</f>
        <v>33754.97</v>
      </c>
      <c r="E63" s="22">
        <f>E56+E62</f>
        <v>47127.65</v>
      </c>
      <c r="F63" s="22">
        <f>F56+F62</f>
        <v>0</v>
      </c>
      <c r="G63" s="22">
        <f>G56+G62</f>
        <v>5076.22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1338495.72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375747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1714242.72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270643.59999999998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3402.55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1230.3399999999999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274046.14999999997</v>
      </c>
      <c r="D78" s="130">
        <f>SUM(D72:D77)</f>
        <v>1230.3399999999999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1988288.8699999999</v>
      </c>
      <c r="D81" s="130">
        <f>SUM(D79:D80)+D78+D70</f>
        <v>1230.3399999999999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5308.75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25949.3</v>
      </c>
      <c r="D88" s="95">
        <f>SUM('DOE25'!G153:G161)</f>
        <v>70920.44</v>
      </c>
      <c r="E88" s="95">
        <f>SUM('DOE25'!H153:H161)</f>
        <v>79648.92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25949.3</v>
      </c>
      <c r="D91" s="131">
        <f>SUM(D85:D90)</f>
        <v>70920.44</v>
      </c>
      <c r="E91" s="131">
        <f>SUM(E85:E90)</f>
        <v>84957.67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33094.01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33094.01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5328177</v>
      </c>
      <c r="D104" s="86">
        <f>D63+D81+D91+D103</f>
        <v>138999.76</v>
      </c>
      <c r="E104" s="86">
        <f>E63+E81+E91+E103</f>
        <v>132085.32</v>
      </c>
      <c r="F104" s="86">
        <f>F63+F81+F91+F103</f>
        <v>0</v>
      </c>
      <c r="G104" s="86">
        <f>G63+G81+G103</f>
        <v>5076.22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2347699.75</v>
      </c>
      <c r="D109" s="24" t="s">
        <v>288</v>
      </c>
      <c r="E109" s="95">
        <f>('DOE25'!L276)+('DOE25'!L295)+('DOE25'!L314)</f>
        <v>41134.07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634337.88</v>
      </c>
      <c r="D110" s="24" t="s">
        <v>288</v>
      </c>
      <c r="E110" s="95">
        <f>('DOE25'!L277)+('DOE25'!L296)+('DOE25'!L315)</f>
        <v>12216.25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36819.679999999993</v>
      </c>
      <c r="D112" s="24" t="s">
        <v>288</v>
      </c>
      <c r="E112" s="95">
        <f>+('DOE25'!L279)+('DOE25'!L298)+('DOE25'!L317)</f>
        <v>3128.97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8895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3027752.31</v>
      </c>
      <c r="D115" s="86">
        <f>SUM(D109:D114)</f>
        <v>0</v>
      </c>
      <c r="E115" s="86">
        <f>SUM(E109:E114)</f>
        <v>56479.29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239730.55000000002</v>
      </c>
      <c r="D118" s="24" t="s">
        <v>288</v>
      </c>
      <c r="E118" s="95">
        <f>+('DOE25'!L281)+('DOE25'!L300)+('DOE25'!L319)</f>
        <v>1362.5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110540.98</v>
      </c>
      <c r="D119" s="24" t="s">
        <v>288</v>
      </c>
      <c r="E119" s="95">
        <f>+('DOE25'!L282)+('DOE25'!L301)+('DOE25'!L320)</f>
        <v>13799.939999999999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200545.90000000002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170364.45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6162.29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304982.09999999998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176058.16999999998</v>
      </c>
      <c r="D124" s="24" t="s">
        <v>288</v>
      </c>
      <c r="E124" s="95">
        <f>+('DOE25'!L287)+('DOE25'!L306)+('DOE25'!L325)</f>
        <v>7153.65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43718.54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138999.76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1245940.6900000002</v>
      </c>
      <c r="D128" s="86">
        <f>SUM(D118:D127)</f>
        <v>138999.76</v>
      </c>
      <c r="E128" s="86">
        <f>SUM(E118:E127)</f>
        <v>28478.379999999997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567370.26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252460.99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33094.01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1485.78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3590.44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-5076.22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20000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872925.26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5146618.26</v>
      </c>
      <c r="D145" s="86">
        <f>(D115+D128+D144)</f>
        <v>138999.76</v>
      </c>
      <c r="E145" s="86">
        <f>(E115+E128+E144)</f>
        <v>84957.67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10960000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4.33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5711790.9000000004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5711790.9000000004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567370.26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567370.26</v>
      </c>
    </row>
    <row r="159" spans="1:9" x14ac:dyDescent="0.2">
      <c r="A159" s="22" t="s">
        <v>35</v>
      </c>
      <c r="B159" s="137">
        <f>'DOE25'!F498</f>
        <v>5144420.6399999997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5144420.6399999997</v>
      </c>
    </row>
    <row r="160" spans="1:9" x14ac:dyDescent="0.2">
      <c r="A160" s="22" t="s">
        <v>36</v>
      </c>
      <c r="B160" s="137">
        <f>'DOE25'!F499</f>
        <v>4191281.86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4191281.86</v>
      </c>
    </row>
    <row r="161" spans="1:7" x14ac:dyDescent="0.2">
      <c r="A161" s="22" t="s">
        <v>37</v>
      </c>
      <c r="B161" s="137">
        <f>'DOE25'!F500</f>
        <v>9335702.5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9335702.5</v>
      </c>
    </row>
    <row r="162" spans="1:7" x14ac:dyDescent="0.2">
      <c r="A162" s="22" t="s">
        <v>38</v>
      </c>
      <c r="B162" s="137">
        <f>'DOE25'!F501</f>
        <v>542554.24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542554.24</v>
      </c>
    </row>
    <row r="163" spans="1:7" x14ac:dyDescent="0.2">
      <c r="A163" s="22" t="s">
        <v>39</v>
      </c>
      <c r="B163" s="137">
        <f>'DOE25'!F502</f>
        <v>248372.25999999998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248372.25999999998</v>
      </c>
    </row>
    <row r="164" spans="1:7" x14ac:dyDescent="0.2">
      <c r="A164" s="22" t="s">
        <v>246</v>
      </c>
      <c r="B164" s="137">
        <f>'DOE25'!F503</f>
        <v>790926.5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790926.5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MARLBOROUGH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16717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16717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2388834</v>
      </c>
      <c r="D10" s="182">
        <f>ROUND((C10/$C$28)*100,1)</f>
        <v>50.4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646554</v>
      </c>
      <c r="D11" s="182">
        <f>ROUND((C11/$C$28)*100,1)</f>
        <v>13.7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39949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241093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124341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244264</v>
      </c>
      <c r="D17" s="182">
        <f t="shared" si="0"/>
        <v>5.2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170364</v>
      </c>
      <c r="D18" s="182">
        <f t="shared" si="0"/>
        <v>3.6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6162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304982</v>
      </c>
      <c r="D20" s="182">
        <f t="shared" si="0"/>
        <v>6.4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183212</v>
      </c>
      <c r="D21" s="182">
        <f t="shared" si="0"/>
        <v>3.9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8895</v>
      </c>
      <c r="D24" s="182">
        <f t="shared" si="0"/>
        <v>0.2</v>
      </c>
    </row>
    <row r="25" spans="1:4" x14ac:dyDescent="0.2">
      <c r="A25">
        <v>5120</v>
      </c>
      <c r="B25" t="s">
        <v>719</v>
      </c>
      <c r="C25" s="179">
        <f>ROUND('DOE25'!L261+'DOE25'!L342,0)</f>
        <v>252461</v>
      </c>
      <c r="D25" s="182">
        <f t="shared" si="0"/>
        <v>5.3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20000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105245.03</v>
      </c>
      <c r="D27" s="182">
        <f t="shared" si="0"/>
        <v>2.2000000000000002</v>
      </c>
    </row>
    <row r="28" spans="1:4" x14ac:dyDescent="0.2">
      <c r="B28" s="187" t="s">
        <v>722</v>
      </c>
      <c r="C28" s="180">
        <f>SUM(C10:C27)</f>
        <v>4736356.03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4736356.03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567370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3295914</v>
      </c>
      <c r="D35" s="182">
        <f t="shared" ref="D35:D40" si="1">ROUND((C35/$C$41)*100,1)</f>
        <v>59.5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70228.700000000186</v>
      </c>
      <c r="D36" s="182">
        <f t="shared" si="1"/>
        <v>1.3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1714243</v>
      </c>
      <c r="D37" s="182">
        <f t="shared" si="1"/>
        <v>31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275276</v>
      </c>
      <c r="D38" s="182">
        <f t="shared" si="1"/>
        <v>5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181827</v>
      </c>
      <c r="D39" s="182">
        <f t="shared" si="1"/>
        <v>3.3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5537488.7000000002</v>
      </c>
      <c r="D41" s="184">
        <f>SUM(D35:D40)</f>
        <v>100.1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MARLBOROUGH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2017-11-29T17:37:39Z</dcterms:modified>
</cp:coreProperties>
</file>