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604" i="1" l="1"/>
  <c r="J276" i="1"/>
  <c r="G611" i="1"/>
  <c r="I526" i="1"/>
  <c r="H526" i="1"/>
  <c r="G521" i="1"/>
  <c r="F521" i="1"/>
  <c r="H521" i="1"/>
  <c r="J96" i="1"/>
  <c r="G459" i="1"/>
  <c r="F459" i="1"/>
  <c r="G440" i="1"/>
  <c r="J179" i="1"/>
  <c r="I472" i="1"/>
  <c r="G472" i="1"/>
  <c r="F472" i="1"/>
  <c r="G468" i="1"/>
  <c r="I358" i="1"/>
  <c r="G282" i="1"/>
  <c r="G277" i="1"/>
  <c r="F277" i="1"/>
  <c r="I276" i="1"/>
  <c r="G276" i="1"/>
  <c r="F276" i="1"/>
  <c r="K266" i="1" l="1"/>
  <c r="H244" i="1"/>
  <c r="I202" i="1"/>
  <c r="H208" i="1"/>
  <c r="H204" i="1"/>
  <c r="H202" i="1"/>
  <c r="G204" i="1"/>
  <c r="G203" i="1"/>
  <c r="F204" i="1"/>
  <c r="F203" i="1"/>
  <c r="F110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12" i="2" s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C21" i="10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C11" i="10" s="1"/>
  <c r="L278" i="1"/>
  <c r="L279" i="1"/>
  <c r="L281" i="1"/>
  <c r="L282" i="1"/>
  <c r="E119" i="2" s="1"/>
  <c r="L283" i="1"/>
  <c r="L284" i="1"/>
  <c r="L285" i="1"/>
  <c r="C19" i="10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3" i="10"/>
  <c r="C15" i="10"/>
  <c r="C20" i="10"/>
  <c r="L250" i="1"/>
  <c r="L332" i="1"/>
  <c r="L254" i="1"/>
  <c r="C25" i="10"/>
  <c r="L268" i="1"/>
  <c r="L269" i="1"/>
  <c r="L349" i="1"/>
  <c r="L350" i="1"/>
  <c r="I665" i="1"/>
  <c r="I670" i="1"/>
  <c r="G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C18" i="2" s="1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20" i="2"/>
  <c r="E121" i="2"/>
  <c r="C122" i="2"/>
  <c r="E123" i="2"/>
  <c r="E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F408" i="1" s="1"/>
  <c r="H643" i="1" s="1"/>
  <c r="J643" i="1" s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G408" i="1"/>
  <c r="H645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G470" i="1"/>
  <c r="F474" i="1"/>
  <c r="G474" i="1"/>
  <c r="I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8" i="1"/>
  <c r="H632" i="1"/>
  <c r="G634" i="1"/>
  <c r="H635" i="1"/>
  <c r="H636" i="1"/>
  <c r="J636" i="1" s="1"/>
  <c r="G639" i="1"/>
  <c r="H639" i="1"/>
  <c r="G640" i="1"/>
  <c r="G641" i="1"/>
  <c r="H641" i="1"/>
  <c r="G643" i="1"/>
  <c r="G644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257" i="1"/>
  <c r="G271" i="1" s="1"/>
  <c r="G164" i="2"/>
  <c r="C26" i="10"/>
  <c r="L328" i="1"/>
  <c r="L351" i="1"/>
  <c r="A31" i="12"/>
  <c r="D62" i="2"/>
  <c r="D63" i="2" s="1"/>
  <c r="D18" i="13"/>
  <c r="C18" i="13" s="1"/>
  <c r="D18" i="2"/>
  <c r="D17" i="13"/>
  <c r="C17" i="13" s="1"/>
  <c r="D6" i="13"/>
  <c r="C6" i="13" s="1"/>
  <c r="F78" i="2"/>
  <c r="F81" i="2" s="1"/>
  <c r="D31" i="2"/>
  <c r="C78" i="2"/>
  <c r="D50" i="2"/>
  <c r="G157" i="2"/>
  <c r="F18" i="2"/>
  <c r="G161" i="2"/>
  <c r="G156" i="2"/>
  <c r="E103" i="2"/>
  <c r="D91" i="2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641" i="1"/>
  <c r="K605" i="1"/>
  <c r="G648" i="1" s="1"/>
  <c r="J571" i="1"/>
  <c r="K571" i="1"/>
  <c r="L433" i="1"/>
  <c r="D81" i="2"/>
  <c r="I169" i="1"/>
  <c r="G476" i="1"/>
  <c r="H623" i="1" s="1"/>
  <c r="J623" i="1" s="1"/>
  <c r="G338" i="1"/>
  <c r="G352" i="1" s="1"/>
  <c r="F169" i="1"/>
  <c r="J140" i="1"/>
  <c r="F571" i="1"/>
  <c r="I552" i="1"/>
  <c r="K550" i="1"/>
  <c r="G22" i="2"/>
  <c r="K545" i="1"/>
  <c r="C29" i="10"/>
  <c r="H140" i="1"/>
  <c r="L393" i="1"/>
  <c r="C138" i="2" s="1"/>
  <c r="F22" i="13"/>
  <c r="H25" i="13"/>
  <c r="C25" i="13" s="1"/>
  <c r="H571" i="1"/>
  <c r="L560" i="1"/>
  <c r="J545" i="1"/>
  <c r="H338" i="1"/>
  <c r="H352" i="1" s="1"/>
  <c r="H192" i="1"/>
  <c r="L309" i="1"/>
  <c r="E16" i="13"/>
  <c r="J655" i="1"/>
  <c r="L570" i="1"/>
  <c r="I571" i="1"/>
  <c r="G36" i="2"/>
  <c r="L565" i="1"/>
  <c r="G545" i="1"/>
  <c r="K551" i="1"/>
  <c r="C22" i="13"/>
  <c r="C16" i="13"/>
  <c r="H33" i="13"/>
  <c r="A40" i="12" l="1"/>
  <c r="A13" i="12"/>
  <c r="L614" i="1"/>
  <c r="J651" i="1"/>
  <c r="K598" i="1"/>
  <c r="G647" i="1" s="1"/>
  <c r="H545" i="1"/>
  <c r="L545" i="1"/>
  <c r="K549" i="1"/>
  <c r="F552" i="1"/>
  <c r="K552" i="1"/>
  <c r="L401" i="1"/>
  <c r="C139" i="2" s="1"/>
  <c r="J644" i="1"/>
  <c r="J640" i="1"/>
  <c r="J645" i="1"/>
  <c r="G645" i="1"/>
  <c r="J639" i="1"/>
  <c r="J634" i="1"/>
  <c r="H661" i="1"/>
  <c r="I661" i="1" s="1"/>
  <c r="D145" i="2"/>
  <c r="E122" i="2"/>
  <c r="E128" i="2" s="1"/>
  <c r="E115" i="2"/>
  <c r="L290" i="1"/>
  <c r="H647" i="1"/>
  <c r="I662" i="1"/>
  <c r="C124" i="2"/>
  <c r="L247" i="1"/>
  <c r="H662" i="1"/>
  <c r="H660" i="1"/>
  <c r="H257" i="1"/>
  <c r="H271" i="1" s="1"/>
  <c r="C10" i="10"/>
  <c r="C16" i="10"/>
  <c r="D15" i="13"/>
  <c r="C15" i="13" s="1"/>
  <c r="G649" i="1"/>
  <c r="J649" i="1" s="1"/>
  <c r="J647" i="1"/>
  <c r="D12" i="13"/>
  <c r="C12" i="13" s="1"/>
  <c r="C119" i="2"/>
  <c r="D5" i="13"/>
  <c r="C5" i="13" s="1"/>
  <c r="C17" i="10"/>
  <c r="E8" i="13"/>
  <c r="C8" i="13" s="1"/>
  <c r="C121" i="2"/>
  <c r="C109" i="2"/>
  <c r="C115" i="2" s="1"/>
  <c r="L211" i="1"/>
  <c r="C81" i="2"/>
  <c r="C62" i="2"/>
  <c r="C63" i="2" s="1"/>
  <c r="C35" i="10"/>
  <c r="F112" i="1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H193" i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E145" i="2" l="1"/>
  <c r="G633" i="1"/>
  <c r="H472" i="1"/>
  <c r="G638" i="1"/>
  <c r="J472" i="1"/>
  <c r="G629" i="1"/>
  <c r="H468" i="1"/>
  <c r="G104" i="2"/>
  <c r="I193" i="1"/>
  <c r="I468" i="1" s="1"/>
  <c r="G630" i="1"/>
  <c r="G646" i="1"/>
  <c r="J468" i="1"/>
  <c r="H646" i="1"/>
  <c r="H664" i="1"/>
  <c r="H667" i="1" s="1"/>
  <c r="F660" i="1"/>
  <c r="F664" i="1" s="1"/>
  <c r="D31" i="13"/>
  <c r="C31" i="13" s="1"/>
  <c r="H672" i="1"/>
  <c r="C6" i="10" s="1"/>
  <c r="G672" i="1"/>
  <c r="C5" i="10" s="1"/>
  <c r="C28" i="10"/>
  <c r="D24" i="10" s="1"/>
  <c r="C128" i="2"/>
  <c r="C145" i="2" s="1"/>
  <c r="E33" i="13"/>
  <c r="D35" i="13" s="1"/>
  <c r="L257" i="1"/>
  <c r="L271" i="1" s="1"/>
  <c r="G632" i="1" s="1"/>
  <c r="J632" i="1" s="1"/>
  <c r="C104" i="2"/>
  <c r="C36" i="10"/>
  <c r="F193" i="1"/>
  <c r="C51" i="2"/>
  <c r="G631" i="1"/>
  <c r="G193" i="1"/>
  <c r="G628" i="1" s="1"/>
  <c r="J628" i="1" s="1"/>
  <c r="G626" i="1"/>
  <c r="J52" i="1"/>
  <c r="H621" i="1" s="1"/>
  <c r="J621" i="1" s="1"/>
  <c r="C38" i="10"/>
  <c r="G627" i="1" l="1"/>
  <c r="F468" i="1"/>
  <c r="H633" i="1"/>
  <c r="H474" i="1"/>
  <c r="J633" i="1"/>
  <c r="J474" i="1"/>
  <c r="H638" i="1"/>
  <c r="J638" i="1" s="1"/>
  <c r="H470" i="1"/>
  <c r="H476" i="1" s="1"/>
  <c r="H624" i="1" s="1"/>
  <c r="J624" i="1" s="1"/>
  <c r="H629" i="1"/>
  <c r="J629" i="1" s="1"/>
  <c r="J646" i="1"/>
  <c r="H630" i="1"/>
  <c r="J630" i="1" s="1"/>
  <c r="I470" i="1"/>
  <c r="I476" i="1" s="1"/>
  <c r="H625" i="1" s="1"/>
  <c r="J625" i="1" s="1"/>
  <c r="H637" i="1"/>
  <c r="J637" i="1" s="1"/>
  <c r="J470" i="1"/>
  <c r="H631" i="1"/>
  <c r="J631" i="1" s="1"/>
  <c r="I660" i="1"/>
  <c r="I664" i="1" s="1"/>
  <c r="I672" i="1" s="1"/>
  <c r="C7" i="10" s="1"/>
  <c r="D33" i="13"/>
  <c r="D36" i="13" s="1"/>
  <c r="D10" i="10"/>
  <c r="D20" i="10"/>
  <c r="D23" i="10"/>
  <c r="C30" i="10"/>
  <c r="D25" i="10"/>
  <c r="D26" i="10"/>
  <c r="D16" i="10"/>
  <c r="D15" i="10"/>
  <c r="D19" i="10"/>
  <c r="D13" i="10"/>
  <c r="D11" i="10"/>
  <c r="D21" i="10"/>
  <c r="D22" i="10"/>
  <c r="D27" i="10"/>
  <c r="D18" i="10"/>
  <c r="D17" i="10"/>
  <c r="D12" i="10"/>
  <c r="F672" i="1"/>
  <c r="C4" i="10" s="1"/>
  <c r="F667" i="1"/>
  <c r="C41" i="10"/>
  <c r="D38" i="10" s="1"/>
  <c r="H627" i="1" l="1"/>
  <c r="J627" i="1" s="1"/>
  <c r="F470" i="1"/>
  <c r="F476" i="1" s="1"/>
  <c r="H622" i="1" s="1"/>
  <c r="J622" i="1" s="1"/>
  <c r="J476" i="1"/>
  <c r="H626" i="1" s="1"/>
  <c r="J626" i="1" s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<sst xmlns="http://schemas.openxmlformats.org/spreadsheetml/2006/main" count="3955" uniqueCount="913">
  <si>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</si>
  <si>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</si>
  <si>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</si>
  <si>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</si>
  <si>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</si>
  <si>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</si>
  <si>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</si>
  <si>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</si>
  <si>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</si>
  <si>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</si>
  <si>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</si>
  <si>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</si>
  <si>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</si>
  <si>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</si>
  <si>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</si>
  <si>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</si>
  <si>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</si>
  <si>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</si>
  <si>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</si>
  <si>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</si>
  <si>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</si>
  <si>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</si>
  <si>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</si>
  <si>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</si>
  <si>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</si>
  <si>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</si>
  <si>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</si>
  <si>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</si>
  <si>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</si>
  <si>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</si>
  <si>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</si>
  <si>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</si>
  <si>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</si>
  <si>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</si>
  <si>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</si>
  <si>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</si>
  <si>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</si>
  <si>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</si>
  <si>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</si>
  <si>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</si>
  <si>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</si>
  <si>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</si>
  <si>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</si>
  <si>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</si>
  <si>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</si>
  <si>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</si>
  <si>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</si>
  <si>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</si>
  <si>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</si>
  <si>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</si>
  <si>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</si>
  <si>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</si>
  <si>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</si>
  <si>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</si>
  <si>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</si>
  <si>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</si>
  <si>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</si>
  <si>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</si>
  <si>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</si>
  <si>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</si>
  <si>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</si>
  <si>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</si>
  <si>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</si>
  <si>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</si>
  <si>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</si>
  <si>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</si>
  <si>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</si>
  <si>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</si>
  <si>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</si>
  <si>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</si>
  <si>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</si>
  <si>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</si>
  <si>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</si>
  <si>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</si>
  <si>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</si>
  <si>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</si>
  <si>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</si>
  <si>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</si>
  <si>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</si>
  <si>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</si>
  <si>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</si>
  <si>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</si>
  <si>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</si>
  <si>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</si>
  <si>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</si>
  <si>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</si>
  <si>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</si>
  <si>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</si>
  <si>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</si>
  <si>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</si>
  <si>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</si>
  <si>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</si>
  <si>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</si>
  <si>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</si>
  <si>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</si>
  <si>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</si>
  <si>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</si>
  <si>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</si>
  <si>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</si>
  <si>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</si>
  <si>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</si>
  <si>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</si>
  <si>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</si>
  <si>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</si>
  <si>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</si>
  <si>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</si>
  <si>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</si>
  <si>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</si>
  <si>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</si>
  <si>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</si>
  <si>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</si>
  <si>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</si>
  <si>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</si>
  <si>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</si>
  <si>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</si>
  <si>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</si>
  <si>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</si>
  <si>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</si>
  <si>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</si>
  <si>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</si>
  <si>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</si>
  <si>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</si>
  <si>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</si>
  <si>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</si>
  <si>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</si>
  <si>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</si>
  <si>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</si>
  <si>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</si>
  <si>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</si>
  <si>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</si>
  <si>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</si>
  <si>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</si>
  <si>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</si>
  <si>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</si>
  <si>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</si>
  <si>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</si>
  <si>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</si>
  <si>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</si>
  <si>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</si>
  <si>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</si>
  <si>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</si>
  <si>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</si>
  <si>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</si>
  <si>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</si>
  <si>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</si>
  <si>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</si>
  <si>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</si>
  <si>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</si>
  <si>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</si>
  <si>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</si>
  <si>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</si>
  <si>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</si>
  <si>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</si>
  <si>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</si>
  <si>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</si>
  <si>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</si>
  <si>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</si>
  <si>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</si>
  <si>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</si>
  <si>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</si>
  <si>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</si>
  <si>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</si>
  <si>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</si>
  <si>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</si>
  <si>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</si>
  <si>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</si>
  <si>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</si>
  <si>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</si>
  <si>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</si>
  <si>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</si>
  <si>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</si>
  <si>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</si>
  <si>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</si>
  <si>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</si>
  <si>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</si>
  <si>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</si>
  <si>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</si>
  <si>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</si>
  <si>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</si>
  <si>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</si>
  <si>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</si>
  <si>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</si>
  <si>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</si>
  <si>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</si>
  <si>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</si>
  <si>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</si>
  <si>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</si>
  <si>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</si>
  <si>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</si>
  <si>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</si>
  <si>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</si>
  <si>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</si>
  <si>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</si>
  <si>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</si>
  <si>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</si>
  <si>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</si>
  <si>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</si>
  <si>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</si>
  <si>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</si>
  <si>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</si>
  <si>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</si>
  <si>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</si>
  <si>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</si>
  <si>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</si>
  <si>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</si>
  <si>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</si>
  <si>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</si>
  <si>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</si>
  <si>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</si>
  <si>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</si>
  <si>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</si>
  <si>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</si>
  <si>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</si>
  <si>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</si>
  <si>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</si>
  <si>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</si>
  <si>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</si>
  <si>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</si>
  <si>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</si>
  <si>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</si>
  <si>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</si>
  <si>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</si>
  <si>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</si>
  <si>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</si>
  <si>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</si>
  <si>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</si>
  <si>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</si>
  <si>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</si>
  <si>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</si>
  <si>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</si>
  <si>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</si>
  <si>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</si>
  <si>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</si>
  <si>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</si>
  <si>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</si>
  <si>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</si>
  <si>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</si>
  <si>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</si>
  <si>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</si>
  <si>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</si>
  <si>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</si>
  <si>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</si>
  <si>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</si>
  <si>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</si>
  <si>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</si>
  <si>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</si>
  <si>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</si>
  <si>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</si>
  <si>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</si>
  <si>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</si>
  <si>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</si>
  <si>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</si>
  <si>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</si>
  <si>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</si>
  <si>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</si>
  <si>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</si>
  <si>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</si>
  <si>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</si>
  <si>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</si>
  <si>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</si>
  <si>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</si>
  <si>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</si>
  <si>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</si>
  <si>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</si>
  <si>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</si>
  <si>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</si>
  <si>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</si>
  <si>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</si>
  <si>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</si>
  <si>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</si>
  <si>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</si>
  <si>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</si>
  <si>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</si>
  <si>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</si>
  <si>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</si>
  <si>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</si>
  <si>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</si>
  <si>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</si>
  <si>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</si>
  <si>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</si>
  <si>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</si>
  <si>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</si>
  <si>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</si>
  <si>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</si>
  <si>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</si>
  <si>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</si>
  <si>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</si>
  <si>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</si>
  <si>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</si>
  <si>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</si>
  <si>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</si>
  <si>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</si>
  <si>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</si>
  <si>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</si>
  <si>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</si>
  <si>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</si>
  <si>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</si>
  <si>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</si>
  <si>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</si>
  <si>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</si>
  <si>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</si>
  <si>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</si>
  <si>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</si>
  <si>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</si>
  <si>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</si>
  <si>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</si>
  <si>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</si>
  <si>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</si>
  <si>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</si>
  <si>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</si>
  <si>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</si>
  <si>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</si>
  <si>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</si>
  <si>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</si>
  <si>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</si>
  <si>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</si>
  <si>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</si>
  <si>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</si>
  <si>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</si>
  <si>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</si>
  <si>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</si>
  <si>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</si>
  <si>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</si>
  <si>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</si>
  <si>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</si>
  <si>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</si>
  <si>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</si>
  <si>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</si>
  <si>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</si>
  <si>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</si>
  <si>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</si>
  <si>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</si>
  <si>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</si>
  <si>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</si>
  <si>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</si>
  <si>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</si>
  <si>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</si>
  <si>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</si>
  <si>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</si>
  <si>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</si>
  <si>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</si>
  <si>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</si>
  <si>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</si>
  <si>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</si>
  <si>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</si>
  <si>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</si>
  <si>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</si>
  <si>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</si>
  <si>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</si>
  <si>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</si>
  <si>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</si>
  <si>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</si>
  <si>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</si>
  <si>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</si>
  <si>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</si>
  <si>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</si>
  <si>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</si>
  <si>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</si>
  <si>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</si>
  <si>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</si>
  <si>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</si>
  <si>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</si>
  <si>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</si>
  <si>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</si>
  <si>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</si>
  <si>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</si>
  <si>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</si>
  <si>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</si>
  <si>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</si>
  <si>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</si>
  <si>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</si>
  <si>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</si>
  <si>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</si>
  <si>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</si>
  <si>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</si>
  <si>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</si>
  <si>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</si>
  <si>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</si>
  <si>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</si>
  <si>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</si>
  <si>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</si>
  <si>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</si>
  <si>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</si>
  <si>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</si>
  <si>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</si>
  <si>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</si>
  <si>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</si>
  <si>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</si>
  <si>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</si>
  <si>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</si>
  <si>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</si>
  <si>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</si>
  <si>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</si>
  <si>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</si>
  <si>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</si>
  <si>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</si>
  <si>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</si>
  <si>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</si>
  <si>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</si>
  <si>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</si>
  <si>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</si>
  <si>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</si>
  <si>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</si>
  <si>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</si>
  <si>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</si>
  <si>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</si>
  <si>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</si>
  <si>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</si>
  <si>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</si>
  <si>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</si>
  <si>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</si>
  <si>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</si>
  <si>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</si>
  <si>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</si>
  <si>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</si>
  <si>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</si>
  <si>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</si>
  <si>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</si>
  <si>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</si>
  <si>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</si>
  <si>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</si>
  <si>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</si>
  <si>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</si>
  <si>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</si>
  <si>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</si>
  <si>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</si>
  <si>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</si>
  <si>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</si>
  <si>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</si>
  <si>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</si>
  <si>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</si>
  <si>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</si>
  <si>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</si>
  <si>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</si>
  <si>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</si>
  <si>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</si>
  <si>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</si>
  <si>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</si>
  <si>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</si>
  <si>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</si>
  <si>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</si>
  <si>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</si>
  <si>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</si>
  <si>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</si>
  <si>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</si>
  <si>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</si>
  <si>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</si>
  <si>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</si>
  <si>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</si>
  <si>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</si>
  <si>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</si>
  <si>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</si>
  <si>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</si>
  <si>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</si>
  <si>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</si>
  <si>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</si>
  <si>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</si>
  <si>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</si>
  <si>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</si>
  <si>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</si>
  <si>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</si>
  <si>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</si>
  <si>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</si>
  <si>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</si>
  <si>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</si>
  <si>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</si>
  <si>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</si>
  <si>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</si>
  <si>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</si>
  <si>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</si>
  <si>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</si>
  <si>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</si>
  <si>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</si>
  <si>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</si>
  <si>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</si>
  <si>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</si>
  <si>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</si>
  <si>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</si>
  <si>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</si>
  <si>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</si>
  <si>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</si>
  <si>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</si>
  <si>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</si>
  <si>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</si>
  <si>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</si>
  <si>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</si>
  <si>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</si>
  <si>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</si>
  <si>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</si>
  <si>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</si>
  <si>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</si>
  <si>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</si>
  <si>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</si>
  <si>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</si>
  <si>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</si>
  <si>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</si>
  <si>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</si>
  <si>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</si>
  <si>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</si>
  <si>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</si>
  <si>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</si>
  <si>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</si>
  <si>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</si>
  <si>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</si>
  <si>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</si>
  <si>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</si>
  <si>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</si>
  <si>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</si>
  <si>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</si>
  <si>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</si>
  <si>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</si>
  <si>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</si>
  <si>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</si>
  <si>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</si>
  <si>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</si>
  <si>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</si>
  <si>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</si>
  <si>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</si>
  <si>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</si>
  <si>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</si>
  <si>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</si>
  <si>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</si>
  <si>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</si>
  <si>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</si>
  <si>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</si>
  <si>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</si>
  <si>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</si>
  <si>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</si>
  <si>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</si>
  <si>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</si>
  <si>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</si>
  <si>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</si>
  <si>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</si>
  <si>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</si>
  <si>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</si>
  <si>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</si>
  <si>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</si>
  <si>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</si>
  <si>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</si>
  <si>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</si>
  <si>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</si>
  <si>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</si>
  <si>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</si>
  <si>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</si>
  <si>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</si>
  <si>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</si>
  <si>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</si>
  <si>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</si>
  <si>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</si>
  <si>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</si>
  <si>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</si>
  <si>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</si>
  <si>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</si>
  <si>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</si>
  <si>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</si>
  <si>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</si>
  <si>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</si>
  <si>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</si>
  <si>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</si>
  <si>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</si>
  <si>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</si>
  <si>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</si>
  <si>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</si>
  <si>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</si>
  <si>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</si>
  <si>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</si>
  <si>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</si>
  <si>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</si>
  <si>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</si>
  <si>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</si>
  <si>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</si>
  <si>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</si>
  <si>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</si>
  <si>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</si>
  <si>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</si>
  <si>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</si>
  <si>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</si>
  <si>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</si>
  <si>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</si>
  <si>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</si>
  <si>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</si>
  <si>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</si>
  <si>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</si>
  <si>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</si>
  <si>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</si>
  <si>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</si>
  <si>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</si>
  <si>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</si>
  <si>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</si>
  <si>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</si>
  <si>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</si>
  <si>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</si>
  <si>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</si>
  <si>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</si>
  <si>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</si>
  <si>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</si>
  <si>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</si>
  <si>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</si>
  <si>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</si>
  <si>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</si>
  <si>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</si>
  <si>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</si>
  <si>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</si>
  <si>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</si>
  <si>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</si>
  <si>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</si>
  <si>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</si>
  <si>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</si>
  <si>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</si>
  <si>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</si>
  <si>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</si>
  <si>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</si>
  <si>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</si>
  <si>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</si>
  <si>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</si>
  <si>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</si>
  <si>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</si>
  <si>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</si>
  <si>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</si>
  <si>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</si>
  <si>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</si>
  <si>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</si>
  <si>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</si>
  <si>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</si>
  <si>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</si>
  <si>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</si>
  <si>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</si>
  <si>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</si>
  <si>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</si>
  <si>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</si>
  <si>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</si>
  <si>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</si>
  <si>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</si>
  <si>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</si>
  <si>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</si>
  <si>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</si>
  <si>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</si>
  <si>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</si>
  <si>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</si>
  <si>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</si>
  <si>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</si>
  <si>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</si>
  <si>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</si>
  <si>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</si>
  <si>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</si>
  <si>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</si>
  <si>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</si>
  <si>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</si>
  <si>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</si>
  <si>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</si>
  <si>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</si>
  <si>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</si>
  <si>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</si>
  <si>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</si>
  <si>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</si>
  <si>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</si>
  <si>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</si>
  <si>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</si>
  <si>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</si>
  <si>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</si>
  <si>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</si>
  <si>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</si>
  <si>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</si>
  <si>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</si>
  <si>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</si>
  <si>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</si>
  <si>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</si>
  <si>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</si>
  <si>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</si>
  <si>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</si>
  <si>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</si>
  <si>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</si>
  <si>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</si>
  <si>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</si>
  <si>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</si>
  <si>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</si>
  <si>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</si>
  <si>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</si>
  <si>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</si>
  <si>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</si>
  <si>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</si>
  <si>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</si>
  <si>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</si>
  <si>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</si>
  <si>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</si>
  <si>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</si>
  <si>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</si>
  <si>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</si>
  <si>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</si>
  <si>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</si>
  <si>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</si>
  <si>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</si>
  <si>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</si>
  <si>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</si>
  <si>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</si>
  <si>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</si>
  <si>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</si>
  <si>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</si>
  <si>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</si>
  <si>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</si>
  <si>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</si>
  <si>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</si>
  <si>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</si>
  <si>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</si>
  <si>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</si>
  <si>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</si>
  <si>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</si>
  <si>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</si>
  <si>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</si>
  <si>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</si>
  <si>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</si>
  <si>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</si>
  <si>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</si>
  <si>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</si>
  <si>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</si>
  <si>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</si>
  <si>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</si>
  <si>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</si>
  <si>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</si>
  <si>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</si>
  <si>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</si>
  <si>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</si>
  <si>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</si>
  <si>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</si>
  <si>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</si>
  <si>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</si>
  <si>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</si>
  <si>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</si>
  <si>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</si>
  <si>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</si>
  <si>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</si>
  <si>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</si>
  <si>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</si>
  <si>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</si>
  <si>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</si>
  <si>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</si>
  <si>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</si>
  <si>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</si>
  <si>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</si>
  <si>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</si>
  <si>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</si>
  <si>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</si>
  <si>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</si>
  <si>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</si>
  <si>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</si>
  <si>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</si>
  <si>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</si>
  <si>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</si>
  <si>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</si>
  <si>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</si>
  <si>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</si>
  <si>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</si>
  <si>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</si>
  <si>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</si>
  <si>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</si>
  <si>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</si>
  <si>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</si>
  <si>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</si>
  <si>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</si>
  <si>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</si>
  <si>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</si>
  <si>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</si>
  <si>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</si>
  <si>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</si>
  <si>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</si>
  <si>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</si>
  <si>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</si>
  <si>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</si>
  <si>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</si>
  <si>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</si>
  <si>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</si>
  <si>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</si>
  <si>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</si>
  <si>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</si>
  <si>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</si>
  <si>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</si>
  <si>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</si>
  <si>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</si>
  <si>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</si>
  <si>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</si>
  <si>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</si>
  <si>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</si>
  <si>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</si>
  <si>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</si>
  <si>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</si>
  <si>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</si>
  <si>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</si>
  <si>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</si>
  <si>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</si>
  <si>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</si>
  <si>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</si>
  <si>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</si>
  <si>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</si>
  <si>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</si>
  <si>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</si>
  <si>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</si>
  <si>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</si>
  <si>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</si>
  <si>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</si>
  <si>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</si>
  <si>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</si>
  <si>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</si>
  <si>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</si>
  <si>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</si>
  <si>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</si>
  <si>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</si>
  <si>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</si>
  <si>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</si>
  <si>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</si>
  <si>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</si>
  <si>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</si>
  <si>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</si>
  <si>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</si>
  <si>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</si>
  <si>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</si>
  <si>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</si>
  <si>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</si>
  <si>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</si>
  <si>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</si>
  <si>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</si>
  <si>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</si>
  <si>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</si>
  <si>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</si>
  <si>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</si>
  <si>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</si>
  <si>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</si>
  <si>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</si>
  <si>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</si>
  <si>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</si>
  <si>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</si>
  <si>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</si>
  <si>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</si>
  <si>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</si>
  <si>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</si>
  <si>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</si>
  <si>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</si>
  <si>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</si>
  <si>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</si>
  <si>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</si>
  <si>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</si>
  <si>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</si>
  <si>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</si>
  <si>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</si>
  <si>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</si>
  <si>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</si>
  <si>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</si>
  <si>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</si>
  <si>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</si>
  <si>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</si>
  <si>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</si>
  <si>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</si>
  <si>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</si>
  <si>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</si>
  <si>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</si>
  <si>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</si>
  <si>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</si>
  <si>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</si>
  <si>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</si>
  <si>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</si>
  <si>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</si>
  <si>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</si>
  <si>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</si>
  <si>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</si>
  <si>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</si>
  <si>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</si>
  <si>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</si>
  <si>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</si>
  <si>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</si>
  <si>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</si>
  <si>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</si>
  <si>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</si>
  <si>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</si>
  <si>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</si>
  <si>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</si>
  <si>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</si>
  <si>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</si>
  <si>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</si>
  <si>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</si>
  <si>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</si>
  <si>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</si>
  <si>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</si>
  <si>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</si>
  <si>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</si>
  <si>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</si>
  <si>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</si>
  <si>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</si>
  <si>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</si>
  <si>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</si>
  <si>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</si>
  <si>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</si>
  <si>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</si>
  <si>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</si>
  <si>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</si>
  <si>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</si>
  <si>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</si>
  <si>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</si>
  <si>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</si>
  <si>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</si>
  <si>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</si>
  <si>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</si>
  <si>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</si>
  <si>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</si>
  <si>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</si>
  <si>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</si>
  <si>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</si>
  <si>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</si>
  <si>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</si>
  <si>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</si>
  <si>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</si>
  <si>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</si>
  <si>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</si>
  <si>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</si>
  <si>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MARLOW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</si>
</sst>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48" sqref="H64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341</v>
      </c>
      <c r="C2" s="21">
        <v>341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140578.78-13725.05</f>
        <v>126853.73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431930.84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5016.76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1924.46</v>
      </c>
      <c r="G13" s="18"/>
      <c r="H13" s="18">
        <v>5385.36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133794.94999999998</v>
      </c>
      <c r="G19" s="41">
        <f>SUM(G9:G18)</f>
        <v>0</v>
      </c>
      <c r="H19" s="41">
        <f>SUM(H9:H18)</f>
        <v>5385.36</v>
      </c>
      <c r="I19" s="41">
        <f>SUM(I9:I18)</f>
        <v>0</v>
      </c>
      <c r="J19" s="41">
        <f>SUM(J9:J18)</f>
        <v>431930.84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5016.76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768.34</v>
      </c>
      <c r="G23" s="18"/>
      <c r="H23" s="18">
        <v>368.6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2870.57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1589.79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5228.7000000000007</v>
      </c>
      <c r="G32" s="41">
        <f>SUM(G22:G31)</f>
        <v>0</v>
      </c>
      <c r="H32" s="41">
        <f>SUM(H22:H31)</f>
        <v>5385.3600000000006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431930.84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2249.94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96316.31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128566.25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431930.84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133794.95000000001</v>
      </c>
      <c r="G52" s="41">
        <f>G51+G32</f>
        <v>0</v>
      </c>
      <c r="H52" s="41">
        <f>H51+H32</f>
        <v>5385.3600000000006</v>
      </c>
      <c r="I52" s="41">
        <f>I51+I32</f>
        <v>0</v>
      </c>
      <c r="J52" s="41">
        <f>J51+J32</f>
        <v>431930.84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608668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608668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14625.38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14625.38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201.85</v>
      </c>
      <c r="G96" s="18"/>
      <c r="H96" s="18"/>
      <c r="I96" s="18"/>
      <c r="J96" s="18">
        <f>1825.61+3991.59+830.09</f>
        <v>6647.29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90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2000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1692.57+2772</f>
        <v>4464.57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4756.42</v>
      </c>
      <c r="G111" s="41">
        <f>SUM(G96:G110)</f>
        <v>0</v>
      </c>
      <c r="H111" s="41">
        <f>SUM(H96:H110)</f>
        <v>2000</v>
      </c>
      <c r="I111" s="41">
        <f>SUM(I96:I110)</f>
        <v>0</v>
      </c>
      <c r="J111" s="41">
        <f>SUM(J96:J110)</f>
        <v>6647.29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628049.80000000005</v>
      </c>
      <c r="G112" s="41">
        <f>G60+G111</f>
        <v>0</v>
      </c>
      <c r="H112" s="41">
        <f>H60+H79+H94+H111</f>
        <v>2000</v>
      </c>
      <c r="I112" s="41">
        <f>I60+I111</f>
        <v>0</v>
      </c>
      <c r="J112" s="41">
        <f>J60+J111</f>
        <v>6647.29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497816.32000000001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149805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647621.32000000007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33605.85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33605.85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681227.17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224.18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7944.26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17043.37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5631.11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16094.07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16094.07</v>
      </c>
      <c r="G162" s="41">
        <f>SUM(G150:G161)</f>
        <v>0</v>
      </c>
      <c r="H162" s="41">
        <f>SUM(H150:H161)</f>
        <v>30842.92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16094.07</v>
      </c>
      <c r="G169" s="41">
        <f>G147+G162+SUM(G163:G168)</f>
        <v>0</v>
      </c>
      <c r="H169" s="41">
        <f>H147+H162+SUM(H163:H168)</f>
        <v>30842.92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5263.5</v>
      </c>
      <c r="H179" s="18"/>
      <c r="I179" s="18"/>
      <c r="J179" s="18">
        <f>30000+15000</f>
        <v>45000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5263.5</v>
      </c>
      <c r="H183" s="41">
        <f>SUM(H179:H182)</f>
        <v>0</v>
      </c>
      <c r="I183" s="41">
        <f>SUM(I179:I182)</f>
        <v>0</v>
      </c>
      <c r="J183" s="41">
        <f>SUM(J179:J182)</f>
        <v>45000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5263.5</v>
      </c>
      <c r="H192" s="41">
        <f>+H183+SUM(H188:H191)</f>
        <v>0</v>
      </c>
      <c r="I192" s="41">
        <f>I177+I183+SUM(I188:I191)</f>
        <v>0</v>
      </c>
      <c r="J192" s="41">
        <f>J183</f>
        <v>45000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1325371.0400000003</v>
      </c>
      <c r="G193" s="47">
        <f>G112+G140+G169+G192</f>
        <v>5263.5</v>
      </c>
      <c r="H193" s="47">
        <f>H112+H140+H169+H192</f>
        <v>32842.92</v>
      </c>
      <c r="I193" s="47">
        <f>I112+I140+I169+I192</f>
        <v>0</v>
      </c>
      <c r="J193" s="47">
        <f>J112+J140+J192</f>
        <v>51647.29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214537.60000000001</v>
      </c>
      <c r="G197" s="18">
        <v>103375.72</v>
      </c>
      <c r="H197" s="18">
        <v>13229.17</v>
      </c>
      <c r="I197" s="18">
        <v>7858.55</v>
      </c>
      <c r="J197" s="18">
        <v>1544.92</v>
      </c>
      <c r="K197" s="18">
        <v>500</v>
      </c>
      <c r="L197" s="19">
        <f>SUM(F197:K197)</f>
        <v>341045.95999999996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67641.8</v>
      </c>
      <c r="G198" s="18">
        <v>15815.45</v>
      </c>
      <c r="H198" s="18">
        <v>57614.400000000001</v>
      </c>
      <c r="I198" s="18"/>
      <c r="J198" s="18"/>
      <c r="K198" s="18"/>
      <c r="L198" s="19">
        <f>SUM(F198:K198)</f>
        <v>141071.65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778.26</v>
      </c>
      <c r="G200" s="18">
        <v>105.12</v>
      </c>
      <c r="H200" s="18">
        <v>500</v>
      </c>
      <c r="I200" s="18"/>
      <c r="J200" s="18"/>
      <c r="K200" s="18"/>
      <c r="L200" s="19">
        <f>SUM(F200:K200)</f>
        <v>1383.38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5300.1</v>
      </c>
      <c r="G202" s="18">
        <v>425.12</v>
      </c>
      <c r="H202" s="18">
        <f>15208.75+25927.2+13623.13+2682.19+13685.75</f>
        <v>71127.01999999999</v>
      </c>
      <c r="I202" s="18">
        <f>300.05+536.12+98.66</f>
        <v>934.83</v>
      </c>
      <c r="J202" s="18"/>
      <c r="K202" s="18"/>
      <c r="L202" s="19">
        <f t="shared" ref="L202:L208" si="0">SUM(F202:K202)</f>
        <v>77787.069999999992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600+1988.04+2581.16</f>
        <v>5169.2</v>
      </c>
      <c r="G203" s="18">
        <f>139.92+141.3+212.92</f>
        <v>494.14</v>
      </c>
      <c r="H203" s="18">
        <v>5252.24</v>
      </c>
      <c r="I203" s="18">
        <v>376.92</v>
      </c>
      <c r="J203" s="18"/>
      <c r="K203" s="18"/>
      <c r="L203" s="19">
        <f t="shared" si="0"/>
        <v>11292.5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2484+1750</f>
        <v>4234</v>
      </c>
      <c r="G204" s="18">
        <f>220.9+144.38+6000</f>
        <v>6365.28</v>
      </c>
      <c r="H204" s="18">
        <f>1380.73+50+50+6050+50+49114</f>
        <v>56694.729999999996</v>
      </c>
      <c r="I204" s="18"/>
      <c r="J204" s="18">
        <v>807.76</v>
      </c>
      <c r="K204" s="18"/>
      <c r="L204" s="19">
        <f t="shared" si="0"/>
        <v>68101.76999999999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68549.77</v>
      </c>
      <c r="G205" s="18">
        <v>18954.88</v>
      </c>
      <c r="H205" s="18">
        <v>8085.86</v>
      </c>
      <c r="I205" s="18">
        <v>1391.79</v>
      </c>
      <c r="J205" s="18">
        <v>4500</v>
      </c>
      <c r="K205" s="18"/>
      <c r="L205" s="19">
        <f t="shared" si="0"/>
        <v>101482.3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18727.84</v>
      </c>
      <c r="G207" s="18">
        <v>1908.1</v>
      </c>
      <c r="H207" s="18">
        <v>13321</v>
      </c>
      <c r="I207" s="18">
        <v>11326.95</v>
      </c>
      <c r="J207" s="18">
        <v>7448.6</v>
      </c>
      <c r="K207" s="18"/>
      <c r="L207" s="19">
        <f t="shared" si="0"/>
        <v>52732.49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35004.44+23311.54</f>
        <v>58315.98</v>
      </c>
      <c r="I208" s="18"/>
      <c r="J208" s="18"/>
      <c r="K208" s="18"/>
      <c r="L208" s="19">
        <f t="shared" si="0"/>
        <v>58315.98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847.75</v>
      </c>
      <c r="I209" s="18"/>
      <c r="J209" s="18"/>
      <c r="K209" s="18"/>
      <c r="L209" s="19">
        <f>SUM(F209:K209)</f>
        <v>847.75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384938.57000000007</v>
      </c>
      <c r="G211" s="41">
        <f t="shared" si="1"/>
        <v>147443.81</v>
      </c>
      <c r="H211" s="41">
        <f t="shared" si="1"/>
        <v>284988.14999999997</v>
      </c>
      <c r="I211" s="41">
        <f t="shared" si="1"/>
        <v>21889.040000000001</v>
      </c>
      <c r="J211" s="41">
        <f t="shared" si="1"/>
        <v>14301.28</v>
      </c>
      <c r="K211" s="41">
        <f t="shared" si="1"/>
        <v>500</v>
      </c>
      <c r="L211" s="41">
        <f t="shared" si="1"/>
        <v>854060.85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71586</v>
      </c>
      <c r="I215" s="18"/>
      <c r="J215" s="18"/>
      <c r="K215" s="18"/>
      <c r="L215" s="19">
        <f>SUM(F215:K215)</f>
        <v>71586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9446.2800000000007</v>
      </c>
      <c r="I226" s="18"/>
      <c r="J226" s="18"/>
      <c r="K226" s="18"/>
      <c r="L226" s="19">
        <f t="shared" si="2"/>
        <v>9446.2800000000007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81032.28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81032.28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351635.31</v>
      </c>
      <c r="I233" s="18"/>
      <c r="J233" s="18"/>
      <c r="K233" s="18"/>
      <c r="L233" s="19">
        <f>SUM(F233:K233)</f>
        <v>351635.31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99798</v>
      </c>
      <c r="I234" s="18"/>
      <c r="J234" s="18"/>
      <c r="K234" s="18"/>
      <c r="L234" s="19">
        <f>SUM(F234:K234)</f>
        <v>99798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19092.88+4534.17</f>
        <v>23627.050000000003</v>
      </c>
      <c r="I244" s="18"/>
      <c r="J244" s="18"/>
      <c r="K244" s="18"/>
      <c r="L244" s="19">
        <f t="shared" si="4"/>
        <v>23627.050000000003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475060.36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475060.36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384938.57000000007</v>
      </c>
      <c r="G257" s="41">
        <f t="shared" si="8"/>
        <v>147443.81</v>
      </c>
      <c r="H257" s="41">
        <f t="shared" si="8"/>
        <v>841080.78999999992</v>
      </c>
      <c r="I257" s="41">
        <f t="shared" si="8"/>
        <v>21889.040000000001</v>
      </c>
      <c r="J257" s="41">
        <f t="shared" si="8"/>
        <v>14301.28</v>
      </c>
      <c r="K257" s="41">
        <f t="shared" si="8"/>
        <v>500</v>
      </c>
      <c r="L257" s="41">
        <f t="shared" si="8"/>
        <v>1410153.49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5263.5</v>
      </c>
      <c r="L263" s="19">
        <f>SUM(F263:K263)</f>
        <v>5263.5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f>30000+15000</f>
        <v>45000</v>
      </c>
      <c r="L266" s="19">
        <f t="shared" si="9"/>
        <v>45000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50263.5</v>
      </c>
      <c r="L270" s="41">
        <f t="shared" si="9"/>
        <v>50263.5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384938.57000000007</v>
      </c>
      <c r="G271" s="42">
        <f t="shared" si="11"/>
        <v>147443.81</v>
      </c>
      <c r="H271" s="42">
        <f t="shared" si="11"/>
        <v>841080.78999999992</v>
      </c>
      <c r="I271" s="42">
        <f t="shared" si="11"/>
        <v>21889.040000000001</v>
      </c>
      <c r="J271" s="42">
        <f t="shared" si="11"/>
        <v>14301.28</v>
      </c>
      <c r="K271" s="42">
        <f t="shared" si="11"/>
        <v>50763.5</v>
      </c>
      <c r="L271" s="42">
        <f t="shared" si="11"/>
        <v>1460416.99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6691.53+6813.62</f>
        <v>13505.15</v>
      </c>
      <c r="G276" s="18">
        <f>511.89+521.24+40.14+16.4</f>
        <v>1089.6700000000003</v>
      </c>
      <c r="H276" s="18"/>
      <c r="I276" s="18">
        <f>1663.56</f>
        <v>1663.56</v>
      </c>
      <c r="J276" s="18">
        <f>58.07+73.93+150.25+596.1+2214.18+2000</f>
        <v>5092.53</v>
      </c>
      <c r="K276" s="18"/>
      <c r="L276" s="19">
        <f>SUM(F276:K276)</f>
        <v>21350.91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4841.24</f>
        <v>4841.24</v>
      </c>
      <c r="G277" s="18">
        <f>370.33+12.45</f>
        <v>382.78</v>
      </c>
      <c r="H277" s="18"/>
      <c r="I277" s="18"/>
      <c r="J277" s="18"/>
      <c r="K277" s="18"/>
      <c r="L277" s="19">
        <f>SUM(F277:K277)</f>
        <v>5224.0199999999995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1800</v>
      </c>
      <c r="G282" s="18">
        <f>137.7+282.06+10.8</f>
        <v>430.56</v>
      </c>
      <c r="H282" s="18"/>
      <c r="I282" s="18">
        <v>2916</v>
      </c>
      <c r="J282" s="18"/>
      <c r="K282" s="18"/>
      <c r="L282" s="19">
        <f t="shared" si="12"/>
        <v>5146.5599999999995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1121.43</v>
      </c>
      <c r="L285" s="19">
        <f t="shared" si="12"/>
        <v>1121.43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20146.39</v>
      </c>
      <c r="G290" s="42">
        <f t="shared" si="13"/>
        <v>1903.0100000000002</v>
      </c>
      <c r="H290" s="42">
        <f t="shared" si="13"/>
        <v>0</v>
      </c>
      <c r="I290" s="42">
        <f t="shared" si="13"/>
        <v>4579.5599999999995</v>
      </c>
      <c r="J290" s="42">
        <f t="shared" si="13"/>
        <v>5092.53</v>
      </c>
      <c r="K290" s="42">
        <f t="shared" si="13"/>
        <v>1121.43</v>
      </c>
      <c r="L290" s="41">
        <f t="shared" si="13"/>
        <v>32842.92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20146.39</v>
      </c>
      <c r="G338" s="41">
        <f t="shared" si="20"/>
        <v>1903.0100000000002</v>
      </c>
      <c r="H338" s="41">
        <f t="shared" si="20"/>
        <v>0</v>
      </c>
      <c r="I338" s="41">
        <f t="shared" si="20"/>
        <v>4579.5599999999995</v>
      </c>
      <c r="J338" s="41">
        <f t="shared" si="20"/>
        <v>5092.53</v>
      </c>
      <c r="K338" s="41">
        <f t="shared" si="20"/>
        <v>1121.43</v>
      </c>
      <c r="L338" s="41">
        <f t="shared" si="20"/>
        <v>32842.92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20146.39</v>
      </c>
      <c r="G352" s="41">
        <f>G338</f>
        <v>1903.0100000000002</v>
      </c>
      <c r="H352" s="41">
        <f>H338</f>
        <v>0</v>
      </c>
      <c r="I352" s="41">
        <f>I338</f>
        <v>4579.5599999999995</v>
      </c>
      <c r="J352" s="41">
        <f>J338</f>
        <v>5092.53</v>
      </c>
      <c r="K352" s="47">
        <f>K338+K351</f>
        <v>1121.43</v>
      </c>
      <c r="L352" s="41">
        <f>L338+L351</f>
        <v>32842.92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3235.52</v>
      </c>
      <c r="I358" s="18">
        <f>4.98+1620</f>
        <v>1624.98</v>
      </c>
      <c r="J358" s="18">
        <v>403</v>
      </c>
      <c r="K358" s="18"/>
      <c r="L358" s="13">
        <f>SUM(F358:K358)</f>
        <v>5263.5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3235.52</v>
      </c>
      <c r="I362" s="47">
        <f t="shared" si="22"/>
        <v>1624.98</v>
      </c>
      <c r="J362" s="47">
        <f t="shared" si="22"/>
        <v>403</v>
      </c>
      <c r="K362" s="47">
        <f t="shared" si="22"/>
        <v>0</v>
      </c>
      <c r="L362" s="47">
        <f t="shared" si="22"/>
        <v>5263.5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1624.98</v>
      </c>
      <c r="G368" s="63"/>
      <c r="H368" s="63"/>
      <c r="I368" s="56">
        <f>SUM(F368:H368)</f>
        <v>1624.98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1624.98</v>
      </c>
      <c r="G369" s="47">
        <f>SUM(G367:G368)</f>
        <v>0</v>
      </c>
      <c r="H369" s="47">
        <f>SUM(H367:H368)</f>
        <v>0</v>
      </c>
      <c r="I369" s="47">
        <f>SUM(I367:I368)</f>
        <v>1624.98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30000</v>
      </c>
      <c r="H389" s="18">
        <v>1825.61</v>
      </c>
      <c r="I389" s="18"/>
      <c r="J389" s="24" t="s">
        <v>288</v>
      </c>
      <c r="K389" s="24" t="s">
        <v>288</v>
      </c>
      <c r="L389" s="56">
        <f t="shared" si="25"/>
        <v>31825.61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30000</v>
      </c>
      <c r="H393" s="139">
        <f>SUM(H387:H392)</f>
        <v>1825.61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31825.61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15000</v>
      </c>
      <c r="H398" s="18">
        <v>3991.59</v>
      </c>
      <c r="I398" s="18"/>
      <c r="J398" s="24" t="s">
        <v>288</v>
      </c>
      <c r="K398" s="24" t="s">
        <v>288</v>
      </c>
      <c r="L398" s="56">
        <f t="shared" si="26"/>
        <v>18991.59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830.09</v>
      </c>
      <c r="I400" s="18"/>
      <c r="J400" s="24" t="s">
        <v>288</v>
      </c>
      <c r="K400" s="24" t="s">
        <v>288</v>
      </c>
      <c r="L400" s="56">
        <f t="shared" si="26"/>
        <v>830.09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4821.68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19821.68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45000</v>
      </c>
      <c r="H408" s="47">
        <f>H393+H401+H407</f>
        <v>6647.29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51647.29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>
        <v>13975.32</v>
      </c>
      <c r="I415" s="18"/>
      <c r="J415" s="18"/>
      <c r="K415" s="18"/>
      <c r="L415" s="56">
        <f t="shared" si="27"/>
        <v>13975.32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13975.32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13975.32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13975.32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13975.32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123612.71</v>
      </c>
      <c r="G440" s="18">
        <f>256440.33+51877.8</f>
        <v>308318.13</v>
      </c>
      <c r="H440" s="18"/>
      <c r="I440" s="56">
        <f t="shared" si="33"/>
        <v>431930.84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123612.71</v>
      </c>
      <c r="G446" s="13">
        <f>SUM(G439:G445)</f>
        <v>308318.13</v>
      </c>
      <c r="H446" s="13">
        <f>SUM(H439:H445)</f>
        <v>0</v>
      </c>
      <c r="I446" s="13">
        <f>SUM(I439:I445)</f>
        <v>431930.84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f>F440</f>
        <v>123612.71</v>
      </c>
      <c r="G459" s="18">
        <f>G440</f>
        <v>308318.13</v>
      </c>
      <c r="H459" s="18"/>
      <c r="I459" s="56">
        <f t="shared" si="34"/>
        <v>431930.84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123612.71</v>
      </c>
      <c r="G460" s="83">
        <f>SUM(G454:G459)</f>
        <v>308318.13</v>
      </c>
      <c r="H460" s="83">
        <f>SUM(H454:H459)</f>
        <v>0</v>
      </c>
      <c r="I460" s="83">
        <f>SUM(I454:I459)</f>
        <v>431930.84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123612.71</v>
      </c>
      <c r="G461" s="42">
        <f>G452+G460</f>
        <v>308318.13</v>
      </c>
      <c r="H461" s="42">
        <f>H452+H460</f>
        <v>0</v>
      </c>
      <c r="I461" s="42">
        <f>I452+I460</f>
        <v>431930.84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263612.2</v>
      </c>
      <c r="G465" s="18">
        <v>0</v>
      </c>
      <c r="H465" s="18">
        <v>0</v>
      </c>
      <c r="I465" s="18">
        <v>0</v>
      </c>
      <c r="J465" s="18">
        <v>394258.87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1325371.0400000003</v>
      </c>
      <c r="G468" s="18">
        <f>G193</f>
        <v>5263.5</v>
      </c>
      <c r="H468" s="18">
        <f>H193</f>
        <v>32842.92</v>
      </c>
      <c r="I468" s="18">
        <f>I193</f>
        <v>0</v>
      </c>
      <c r="J468" s="18">
        <f>J193</f>
        <v>51647.29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1325371.0400000003</v>
      </c>
      <c r="G470" s="53">
        <f>SUM(G468:G469)</f>
        <v>5263.5</v>
      </c>
      <c r="H470" s="53">
        <f>SUM(H468:H469)</f>
        <v>32842.92</v>
      </c>
      <c r="I470" s="53">
        <f>SUM(I468:I469)</f>
        <v>0</v>
      </c>
      <c r="J470" s="53">
        <f>SUM(J468:J469)</f>
        <v>51647.29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1460416.99</v>
      </c>
      <c r="G472" s="18">
        <f>L362</f>
        <v>5263.5</v>
      </c>
      <c r="H472" s="18">
        <f>L352</f>
        <v>32842.92</v>
      </c>
      <c r="I472" s="18">
        <f>L382</f>
        <v>0</v>
      </c>
      <c r="J472" s="18">
        <f>L434</f>
        <v>13975.32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1460416.99</v>
      </c>
      <c r="G474" s="53">
        <f>SUM(G472:G473)</f>
        <v>5263.5</v>
      </c>
      <c r="H474" s="53">
        <f>SUM(H472:H473)</f>
        <v>32842.92</v>
      </c>
      <c r="I474" s="53">
        <f>SUM(I472:I473)</f>
        <v>0</v>
      </c>
      <c r="J474" s="53">
        <f>SUM(J472:J473)</f>
        <v>13975.32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128566.25000000023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431930.83999999997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38598.15+29043.65+4841.24</f>
        <v>72483.040000000008</v>
      </c>
      <c r="G521" s="18">
        <f>4043.52+251.52+52.03+131.76+5143.09+5903.56+289.97+370.33+12.45</f>
        <v>16198.23</v>
      </c>
      <c r="H521" s="18">
        <f>56595+1019.4</f>
        <v>57614.400000000001</v>
      </c>
      <c r="I521" s="18"/>
      <c r="J521" s="18"/>
      <c r="K521" s="18"/>
      <c r="L521" s="88">
        <f>SUM(F521:K521)</f>
        <v>146295.67000000001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99798</v>
      </c>
      <c r="I523" s="18"/>
      <c r="J523" s="18"/>
      <c r="K523" s="18"/>
      <c r="L523" s="88">
        <f>SUM(F523:K523)</f>
        <v>99798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72483.040000000008</v>
      </c>
      <c r="G524" s="108">
        <f t="shared" ref="G524:L524" si="36">SUM(G521:G523)</f>
        <v>16198.23</v>
      </c>
      <c r="H524" s="108">
        <f t="shared" si="36"/>
        <v>157412.4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246093.67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1795+25927.2+13623.13+2682.19+13685.75</f>
        <v>57713.270000000004</v>
      </c>
      <c r="I526" s="18">
        <f>98.66</f>
        <v>98.66</v>
      </c>
      <c r="J526" s="18"/>
      <c r="K526" s="18"/>
      <c r="L526" s="88">
        <f>SUM(F526:K526)</f>
        <v>57811.930000000008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57713.270000000004</v>
      </c>
      <c r="I529" s="89">
        <f t="shared" si="37"/>
        <v>98.66</v>
      </c>
      <c r="J529" s="89">
        <f t="shared" si="37"/>
        <v>0</v>
      </c>
      <c r="K529" s="89">
        <f t="shared" si="37"/>
        <v>0</v>
      </c>
      <c r="L529" s="89">
        <f t="shared" si="37"/>
        <v>57811.930000000008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4648</v>
      </c>
      <c r="I531" s="18"/>
      <c r="J531" s="18"/>
      <c r="K531" s="18">
        <v>407.09</v>
      </c>
      <c r="L531" s="88">
        <f>SUM(F531:K531)</f>
        <v>5055.09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4648</v>
      </c>
      <c r="I534" s="89">
        <f t="shared" si="38"/>
        <v>0</v>
      </c>
      <c r="J534" s="89">
        <f t="shared" si="38"/>
        <v>0</v>
      </c>
      <c r="K534" s="89">
        <f t="shared" si="38"/>
        <v>407.09</v>
      </c>
      <c r="L534" s="89">
        <f t="shared" si="38"/>
        <v>5055.09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23311.54</v>
      </c>
      <c r="I541" s="18"/>
      <c r="J541" s="18"/>
      <c r="K541" s="18"/>
      <c r="L541" s="88">
        <f>SUM(F541:K541)</f>
        <v>23311.54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4534.17</v>
      </c>
      <c r="I543" s="18"/>
      <c r="J543" s="18"/>
      <c r="K543" s="18"/>
      <c r="L543" s="88">
        <f>SUM(F543:K543)</f>
        <v>4534.17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27845.71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27845.71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72483.040000000008</v>
      </c>
      <c r="G545" s="89">
        <f t="shared" ref="G545:L545" si="41">G524+G529+G534+G539+G544</f>
        <v>16198.23</v>
      </c>
      <c r="H545" s="89">
        <f t="shared" si="41"/>
        <v>247619.37999999998</v>
      </c>
      <c r="I545" s="89">
        <f t="shared" si="41"/>
        <v>98.66</v>
      </c>
      <c r="J545" s="89">
        <f t="shared" si="41"/>
        <v>0</v>
      </c>
      <c r="K545" s="89">
        <f t="shared" si="41"/>
        <v>407.09</v>
      </c>
      <c r="L545" s="89">
        <f t="shared" si="41"/>
        <v>336806.40000000008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146295.67000000001</v>
      </c>
      <c r="G549" s="87">
        <f>L526</f>
        <v>57811.930000000008</v>
      </c>
      <c r="H549" s="87">
        <f>L531</f>
        <v>5055.09</v>
      </c>
      <c r="I549" s="87">
        <f>L536</f>
        <v>0</v>
      </c>
      <c r="J549" s="87">
        <f>L541</f>
        <v>23311.54</v>
      </c>
      <c r="K549" s="87">
        <f>SUM(F549:J549)</f>
        <v>232474.23000000004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99798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4534.17</v>
      </c>
      <c r="K551" s="87">
        <f>SUM(F551:J551)</f>
        <v>104332.17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246093.67</v>
      </c>
      <c r="G552" s="89">
        <f t="shared" si="42"/>
        <v>57811.930000000008</v>
      </c>
      <c r="H552" s="89">
        <f t="shared" si="42"/>
        <v>5055.09</v>
      </c>
      <c r="I552" s="89">
        <f t="shared" si="42"/>
        <v>0</v>
      </c>
      <c r="J552" s="89">
        <f t="shared" si="42"/>
        <v>27845.71</v>
      </c>
      <c r="K552" s="89">
        <f t="shared" si="42"/>
        <v>336806.40000000002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71586</v>
      </c>
      <c r="H575" s="18">
        <v>351635.31</v>
      </c>
      <c r="I575" s="87">
        <f>SUM(F575:H575)</f>
        <v>423221.31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1019.4</v>
      </c>
      <c r="G579" s="18"/>
      <c r="H579" s="18">
        <v>78390</v>
      </c>
      <c r="I579" s="87">
        <f t="shared" si="47"/>
        <v>79409.399999999994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56595</v>
      </c>
      <c r="G580" s="18"/>
      <c r="H580" s="18"/>
      <c r="I580" s="87">
        <f t="shared" si="47"/>
        <v>56595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500</v>
      </c>
      <c r="G582" s="18"/>
      <c r="H582" s="18">
        <v>21408</v>
      </c>
      <c r="I582" s="87">
        <f t="shared" si="47"/>
        <v>21908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35004.44</v>
      </c>
      <c r="I591" s="18">
        <v>9446.2800000000007</v>
      </c>
      <c r="J591" s="18">
        <v>19092.88</v>
      </c>
      <c r="K591" s="104">
        <f t="shared" ref="K591:K597" si="48">SUM(H591:J591)</f>
        <v>63543.600000000006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23311.54</v>
      </c>
      <c r="I592" s="18"/>
      <c r="J592" s="18">
        <v>4534.17</v>
      </c>
      <c r="K592" s="104">
        <f t="shared" si="48"/>
        <v>27845.71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58315.98</v>
      </c>
      <c r="I598" s="108">
        <f>SUM(I591:I597)</f>
        <v>9446.2800000000007</v>
      </c>
      <c r="J598" s="108">
        <f>SUM(J591:J597)</f>
        <v>23627.050000000003</v>
      </c>
      <c r="K598" s="108">
        <f>SUM(K591:K597)</f>
        <v>91389.31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17393.81+2000</f>
        <v>19393.810000000001</v>
      </c>
      <c r="I604" s="18"/>
      <c r="J604" s="18"/>
      <c r="K604" s="104">
        <f>SUM(H604:J604)</f>
        <v>19393.810000000001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19393.810000000001</v>
      </c>
      <c r="I605" s="108">
        <f>SUM(I602:I604)</f>
        <v>0</v>
      </c>
      <c r="J605" s="108">
        <f>SUM(J602:J604)</f>
        <v>0</v>
      </c>
      <c r="K605" s="108">
        <f>SUM(K602:K604)</f>
        <v>19393.810000000001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778.26</v>
      </c>
      <c r="G611" s="18">
        <f>59.54+40.91+4.67</f>
        <v>105.11999999999999</v>
      </c>
      <c r="H611" s="18">
        <v>500</v>
      </c>
      <c r="I611" s="18"/>
      <c r="J611" s="18"/>
      <c r="K611" s="18"/>
      <c r="L611" s="88">
        <f>SUM(F611:K611)</f>
        <v>1383.38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778.26</v>
      </c>
      <c r="G614" s="108">
        <f t="shared" si="49"/>
        <v>105.11999999999999</v>
      </c>
      <c r="H614" s="108">
        <f t="shared" si="49"/>
        <v>500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1383.38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133794.94999999998</v>
      </c>
      <c r="H617" s="109">
        <f>SUM(F52)</f>
        <v>133794.95000000001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5385.36</v>
      </c>
      <c r="H619" s="109">
        <f>SUM(H52)</f>
        <v>5385.3600000000006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431930.84</v>
      </c>
      <c r="H621" s="109">
        <f>SUM(J52)</f>
        <v>431930.84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128566.25</v>
      </c>
      <c r="H622" s="109">
        <f>F476</f>
        <v>128566.25000000023</v>
      </c>
      <c r="I622" s="121" t="s">
        <v>101</v>
      </c>
      <c r="J622" s="109">
        <f t="shared" ref="J622:J655" si="50">G622-H622</f>
        <v>-2.3283064365386963E-10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431930.84</v>
      </c>
      <c r="H626" s="109">
        <f>J476</f>
        <v>431930.83999999997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1325371.0400000003</v>
      </c>
      <c r="H627" s="104">
        <f>SUM(F468)</f>
        <v>1325371.0400000003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5263.5</v>
      </c>
      <c r="H628" s="104">
        <f>SUM(G468)</f>
        <v>5263.5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32842.92</v>
      </c>
      <c r="H629" s="104">
        <f>SUM(H468)</f>
        <v>32842.92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51647.29</v>
      </c>
      <c r="H631" s="104">
        <f>SUM(J468)</f>
        <v>51647.29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1460416.99</v>
      </c>
      <c r="H632" s="104">
        <f>SUM(F472)</f>
        <v>1460416.99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32842.92</v>
      </c>
      <c r="H633" s="104">
        <f>SUM(H472)</f>
        <v>32842.92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1624.98</v>
      </c>
      <c r="H634" s="104">
        <f>I369</f>
        <v>1624.98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5263.5</v>
      </c>
      <c r="H635" s="104">
        <f>SUM(G472)</f>
        <v>5263.5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51647.29</v>
      </c>
      <c r="H637" s="164">
        <f>SUM(J468)</f>
        <v>51647.29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13975.32</v>
      </c>
      <c r="H638" s="164">
        <f>SUM(J472)</f>
        <v>13975.32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123612.71</v>
      </c>
      <c r="H639" s="104">
        <f>SUM(F461)</f>
        <v>123612.71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308318.13</v>
      </c>
      <c r="H640" s="104">
        <f>SUM(G461)</f>
        <v>308318.13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431930.84</v>
      </c>
      <c r="H642" s="104">
        <f>SUM(I461)</f>
        <v>431930.84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6647.29</v>
      </c>
      <c r="H644" s="104">
        <f>H408</f>
        <v>6647.29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45000</v>
      </c>
      <c r="H645" s="104">
        <f>G408</f>
        <v>45000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51647.29</v>
      </c>
      <c r="H646" s="104">
        <f>L408</f>
        <v>51647.29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91389.31</v>
      </c>
      <c r="H647" s="104">
        <f>L208+L226+L244</f>
        <v>91389.310000000012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19393.810000000001</v>
      </c>
      <c r="H648" s="104">
        <f>(J257+J338)-(J255+J336)</f>
        <v>19393.810000000001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58315.98</v>
      </c>
      <c r="H649" s="104">
        <f>H598</f>
        <v>58315.98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9446.2800000000007</v>
      </c>
      <c r="H650" s="104">
        <f>I598</f>
        <v>9446.2800000000007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23627.050000000003</v>
      </c>
      <c r="H651" s="104">
        <f>J598</f>
        <v>23627.050000000003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5263.5</v>
      </c>
      <c r="H652" s="104">
        <f>K263+K345</f>
        <v>5263.5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45000</v>
      </c>
      <c r="H655" s="104">
        <f>K266+K347</f>
        <v>45000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892167.27</v>
      </c>
      <c r="G660" s="19">
        <f>(L229+L309+L359)</f>
        <v>81032.28</v>
      </c>
      <c r="H660" s="19">
        <f>(L247+L328+L360)</f>
        <v>475060.36</v>
      </c>
      <c r="I660" s="19">
        <f>SUM(F660:H660)</f>
        <v>1448259.9100000001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58315.98</v>
      </c>
      <c r="G662" s="19">
        <f>(L226+L306)-(J226+J306)</f>
        <v>9446.2800000000007</v>
      </c>
      <c r="H662" s="19">
        <f>(L244+L325)-(J244+J325)</f>
        <v>23627.050000000003</v>
      </c>
      <c r="I662" s="19">
        <f>SUM(F662:H662)</f>
        <v>91389.310000000012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78891.590000000011</v>
      </c>
      <c r="G663" s="199">
        <f>SUM(G575:G587)+SUM(I602:I604)+L612</f>
        <v>71586</v>
      </c>
      <c r="H663" s="199">
        <f>SUM(H575:H587)+SUM(J602:J604)+L613</f>
        <v>451433.31</v>
      </c>
      <c r="I663" s="19">
        <f>SUM(F663:H663)</f>
        <v>601910.9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754959.7</v>
      </c>
      <c r="G664" s="19">
        <f>G660-SUM(G661:G663)</f>
        <v>0</v>
      </c>
      <c r="H664" s="19">
        <f>H660-SUM(H661:H663)</f>
        <v>0</v>
      </c>
      <c r="I664" s="19">
        <f>I660-SUM(I661:I663)</f>
        <v>754959.70000000007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36.53</v>
      </c>
      <c r="G665" s="248"/>
      <c r="H665" s="248"/>
      <c r="I665" s="19">
        <f>SUM(F665:H665)</f>
        <v>36.53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20666.84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20666.84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20666.84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20666.84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MARLOW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228042.75</v>
      </c>
      <c r="C9" s="229">
        <f>'DOE25'!G197+'DOE25'!G215+'DOE25'!G233+'DOE25'!G276+'DOE25'!G295+'DOE25'!G314</f>
        <v>104465.39</v>
      </c>
    </row>
    <row r="10" spans="1:3" x14ac:dyDescent="0.2">
      <c r="A10" t="s">
        <v>778</v>
      </c>
      <c r="B10" s="240">
        <v>214537.60000000001</v>
      </c>
      <c r="C10" s="240">
        <v>98278.74</v>
      </c>
    </row>
    <row r="11" spans="1:3" x14ac:dyDescent="0.2">
      <c r="A11" t="s">
        <v>779</v>
      </c>
      <c r="B11" s="240">
        <v>13505.15</v>
      </c>
      <c r="C11" s="240">
        <v>6186.65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228042.75</v>
      </c>
      <c r="C13" s="231">
        <f>SUM(C10:C12)</f>
        <v>104465.39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72483.040000000008</v>
      </c>
      <c r="C18" s="229">
        <f>'DOE25'!G198+'DOE25'!G216+'DOE25'!G234+'DOE25'!G277+'DOE25'!G296+'DOE25'!G315</f>
        <v>16198.230000000001</v>
      </c>
    </row>
    <row r="19" spans="1:3" x14ac:dyDescent="0.2">
      <c r="A19" t="s">
        <v>778</v>
      </c>
      <c r="B19" s="240">
        <v>38598.15</v>
      </c>
      <c r="C19" s="240">
        <v>8625.77</v>
      </c>
    </row>
    <row r="20" spans="1:3" x14ac:dyDescent="0.2">
      <c r="A20" t="s">
        <v>779</v>
      </c>
      <c r="B20" s="240">
        <v>33884.89</v>
      </c>
      <c r="C20" s="240">
        <v>7572.46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72483.040000000008</v>
      </c>
      <c r="C22" s="231">
        <f>SUM(C19:C21)</f>
        <v>16198.23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778.26</v>
      </c>
      <c r="C36" s="235">
        <f>'DOE25'!G200+'DOE25'!G218+'DOE25'!G236+'DOE25'!G279+'DOE25'!G298+'DOE25'!G317</f>
        <v>105.12</v>
      </c>
    </row>
    <row r="37" spans="1:3" x14ac:dyDescent="0.2">
      <c r="A37" t="s">
        <v>778</v>
      </c>
      <c r="B37" s="240">
        <v>778.26</v>
      </c>
      <c r="C37" s="240">
        <v>105.12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778.26</v>
      </c>
      <c r="C40" s="231">
        <f>SUM(C37:C39)</f>
        <v>105.12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MARLOW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1006520.3</v>
      </c>
      <c r="D5" s="20">
        <f>SUM('DOE25'!L197:L200)+SUM('DOE25'!L215:L218)+SUM('DOE25'!L233:L236)-F5-G5</f>
        <v>1004475.38</v>
      </c>
      <c r="E5" s="243"/>
      <c r="F5" s="255">
        <f>SUM('DOE25'!J197:J200)+SUM('DOE25'!J215:J218)+SUM('DOE25'!J233:J236)</f>
        <v>1544.92</v>
      </c>
      <c r="G5" s="53">
        <f>SUM('DOE25'!K197:K200)+SUM('DOE25'!K215:K218)+SUM('DOE25'!K233:K236)</f>
        <v>500</v>
      </c>
      <c r="H5" s="259"/>
    </row>
    <row r="6" spans="1:9" x14ac:dyDescent="0.2">
      <c r="A6" s="32">
        <v>2100</v>
      </c>
      <c r="B6" t="s">
        <v>800</v>
      </c>
      <c r="C6" s="245">
        <f t="shared" si="0"/>
        <v>77787.069999999992</v>
      </c>
      <c r="D6" s="20">
        <f>'DOE25'!L202+'DOE25'!L220+'DOE25'!L238-F6-G6</f>
        <v>77787.069999999992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11292.5</v>
      </c>
      <c r="D7" s="20">
        <f>'DOE25'!L203+'DOE25'!L221+'DOE25'!L239-F7-G7</f>
        <v>11292.5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47190.999999999993</v>
      </c>
      <c r="D8" s="243"/>
      <c r="E8" s="20">
        <f>'DOE25'!L204+'DOE25'!L222+'DOE25'!L240-F8-G8-D9-D11</f>
        <v>46383.239999999991</v>
      </c>
      <c r="F8" s="255">
        <f>'DOE25'!J204+'DOE25'!J222+'DOE25'!J240</f>
        <v>807.76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12987.77</v>
      </c>
      <c r="D9" s="244">
        <v>12987.77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6050</v>
      </c>
      <c r="D10" s="243"/>
      <c r="E10" s="244">
        <v>6050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7923</v>
      </c>
      <c r="D11" s="244">
        <v>7923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101482.3</v>
      </c>
      <c r="D12" s="20">
        <f>'DOE25'!L205+'DOE25'!L223+'DOE25'!L241-F12-G12</f>
        <v>96982.3</v>
      </c>
      <c r="E12" s="243"/>
      <c r="F12" s="255">
        <f>'DOE25'!J205+'DOE25'!J223+'DOE25'!J241</f>
        <v>4500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52732.49</v>
      </c>
      <c r="D14" s="20">
        <f>'DOE25'!L207+'DOE25'!L225+'DOE25'!L243-F14-G14</f>
        <v>45283.89</v>
      </c>
      <c r="E14" s="243"/>
      <c r="F14" s="255">
        <f>'DOE25'!J207+'DOE25'!J225+'DOE25'!J243</f>
        <v>7448.6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91389.310000000012</v>
      </c>
      <c r="D15" s="20">
        <f>'DOE25'!L208+'DOE25'!L226+'DOE25'!L244-F15-G15</f>
        <v>91389.310000000012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847.75</v>
      </c>
      <c r="D16" s="243"/>
      <c r="E16" s="20">
        <f>'DOE25'!L209+'DOE25'!L227+'DOE25'!L245-F16-G16</f>
        <v>847.75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5263.5</v>
      </c>
      <c r="D29" s="20">
        <f>'DOE25'!L358+'DOE25'!L359+'DOE25'!L360-'DOE25'!I367-F29-G29</f>
        <v>4860.5</v>
      </c>
      <c r="E29" s="243"/>
      <c r="F29" s="255">
        <f>'DOE25'!J358+'DOE25'!J359+'DOE25'!J360</f>
        <v>403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32842.92</v>
      </c>
      <c r="D31" s="20">
        <f>'DOE25'!L290+'DOE25'!L309+'DOE25'!L328+'DOE25'!L333+'DOE25'!L334+'DOE25'!L335-F31-G31</f>
        <v>26628.959999999999</v>
      </c>
      <c r="E31" s="243"/>
      <c r="F31" s="255">
        <f>'DOE25'!J290+'DOE25'!J309+'DOE25'!J328+'DOE25'!J333+'DOE25'!J334+'DOE25'!J335</f>
        <v>5092.53</v>
      </c>
      <c r="G31" s="53">
        <f>'DOE25'!K290+'DOE25'!K309+'DOE25'!K328+'DOE25'!K333+'DOE25'!K334+'DOE25'!K335</f>
        <v>1121.43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1379610.68</v>
      </c>
      <c r="E33" s="246">
        <f>SUM(E5:E31)</f>
        <v>53280.989999999991</v>
      </c>
      <c r="F33" s="246">
        <f>SUM(F5:F31)</f>
        <v>19796.810000000001</v>
      </c>
      <c r="G33" s="246">
        <f>SUM(G5:G31)</f>
        <v>1621.43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53280.989999999991</v>
      </c>
      <c r="E35" s="249"/>
    </row>
    <row r="36" spans="2:8" ht="12" thickTop="1" x14ac:dyDescent="0.2">
      <c r="B36" t="s">
        <v>814</v>
      </c>
      <c r="D36" s="20">
        <f>D33</f>
        <v>1379610.68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MARLOW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126853.73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431930.84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5016.76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1924.46</v>
      </c>
      <c r="D12" s="95">
        <f>'DOE25'!G13</f>
        <v>0</v>
      </c>
      <c r="E12" s="95">
        <f>'DOE25'!H13</f>
        <v>5385.36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133794.94999999998</v>
      </c>
      <c r="D18" s="41">
        <f>SUM(D8:D17)</f>
        <v>0</v>
      </c>
      <c r="E18" s="41">
        <f>SUM(E8:E17)</f>
        <v>5385.36</v>
      </c>
      <c r="F18" s="41">
        <f>SUM(F8:F17)</f>
        <v>0</v>
      </c>
      <c r="G18" s="41">
        <f>SUM(G8:G17)</f>
        <v>431930.84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5016.76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768.34</v>
      </c>
      <c r="D22" s="95">
        <f>'DOE25'!G23</f>
        <v>0</v>
      </c>
      <c r="E22" s="95">
        <f>'DOE25'!H23</f>
        <v>368.6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2870.57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1589.79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5228.7000000000007</v>
      </c>
      <c r="D31" s="41">
        <f>SUM(D21:D30)</f>
        <v>0</v>
      </c>
      <c r="E31" s="41">
        <f>SUM(E21:E30)</f>
        <v>5385.3600000000006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431930.84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2249.94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96316.31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128566.25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431930.84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133794.95000000001</v>
      </c>
      <c r="D51" s="41">
        <f>D50+D31</f>
        <v>0</v>
      </c>
      <c r="E51" s="41">
        <f>E50+E31</f>
        <v>5385.3600000000006</v>
      </c>
      <c r="F51" s="41">
        <f>F50+F31</f>
        <v>0</v>
      </c>
      <c r="G51" s="41">
        <f>G50+G31</f>
        <v>431930.84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608668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14625.38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201.85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6647.29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4554.57</v>
      </c>
      <c r="D61" s="95">
        <f>SUM('DOE25'!G98:G110)</f>
        <v>0</v>
      </c>
      <c r="E61" s="95">
        <f>SUM('DOE25'!H98:H110)</f>
        <v>2000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19381.8</v>
      </c>
      <c r="D62" s="130">
        <f>SUM(D57:D61)</f>
        <v>0</v>
      </c>
      <c r="E62" s="130">
        <f>SUM(E57:E61)</f>
        <v>2000</v>
      </c>
      <c r="F62" s="130">
        <f>SUM(F57:F61)</f>
        <v>0</v>
      </c>
      <c r="G62" s="130">
        <f>SUM(G57:G61)</f>
        <v>6647.29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628049.80000000005</v>
      </c>
      <c r="D63" s="22">
        <f>D56+D62</f>
        <v>0</v>
      </c>
      <c r="E63" s="22">
        <f>E56+E62</f>
        <v>2000</v>
      </c>
      <c r="F63" s="22">
        <f>F56+F62</f>
        <v>0</v>
      </c>
      <c r="G63" s="22">
        <f>G56+G62</f>
        <v>6647.29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497816.32000000001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149805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647621.32000000007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33605.85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33605.85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681227.17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224.18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16094.07</v>
      </c>
      <c r="D88" s="95">
        <f>SUM('DOE25'!G153:G161)</f>
        <v>0</v>
      </c>
      <c r="E88" s="95">
        <f>SUM('DOE25'!H153:H161)</f>
        <v>30618.739999999998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16094.07</v>
      </c>
      <c r="D91" s="131">
        <f>SUM(D85:D90)</f>
        <v>0</v>
      </c>
      <c r="E91" s="131">
        <f>SUM(E85:E90)</f>
        <v>30842.92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5263.5</v>
      </c>
      <c r="E96" s="95">
        <f>'DOE25'!H179</f>
        <v>0</v>
      </c>
      <c r="F96" s="95">
        <f>'DOE25'!I179</f>
        <v>0</v>
      </c>
      <c r="G96" s="95">
        <f>'DOE25'!J179</f>
        <v>45000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5263.5</v>
      </c>
      <c r="E103" s="86">
        <f>SUM(E93:E102)</f>
        <v>0</v>
      </c>
      <c r="F103" s="86">
        <f>SUM(F93:F102)</f>
        <v>0</v>
      </c>
      <c r="G103" s="86">
        <f>SUM(G93:G102)</f>
        <v>45000</v>
      </c>
    </row>
    <row r="104" spans="1:7" ht="12.75" thickTop="1" thickBot="1" x14ac:dyDescent="0.25">
      <c r="A104" s="33" t="s">
        <v>764</v>
      </c>
      <c r="C104" s="86">
        <f>C63+C81+C91+C103</f>
        <v>1325371.0400000003</v>
      </c>
      <c r="D104" s="86">
        <f>D63+D81+D91+D103</f>
        <v>5263.5</v>
      </c>
      <c r="E104" s="86">
        <f>E63+E81+E91+E103</f>
        <v>32842.92</v>
      </c>
      <c r="F104" s="86">
        <f>F63+F81+F91+F103</f>
        <v>0</v>
      </c>
      <c r="G104" s="86">
        <f>G63+G81+G103</f>
        <v>51647.29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764267.27</v>
      </c>
      <c r="D109" s="24" t="s">
        <v>288</v>
      </c>
      <c r="E109" s="95">
        <f>('DOE25'!L276)+('DOE25'!L295)+('DOE25'!L314)</f>
        <v>21350.91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240869.65</v>
      </c>
      <c r="D110" s="24" t="s">
        <v>288</v>
      </c>
      <c r="E110" s="95">
        <f>('DOE25'!L277)+('DOE25'!L296)+('DOE25'!L315)</f>
        <v>5224.0199999999995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1383.38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1006520.3</v>
      </c>
      <c r="D115" s="86">
        <f>SUM(D109:D114)</f>
        <v>0</v>
      </c>
      <c r="E115" s="86">
        <f>SUM(E109:E114)</f>
        <v>26574.93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77787.069999999992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11292.5</v>
      </c>
      <c r="D119" s="24" t="s">
        <v>288</v>
      </c>
      <c r="E119" s="95">
        <f>+('DOE25'!L282)+('DOE25'!L301)+('DOE25'!L320)</f>
        <v>5146.5599999999995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68101.76999999999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101482.3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1121.43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52732.49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91389.310000000012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847.75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5263.5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403633.18999999994</v>
      </c>
      <c r="D128" s="86">
        <f>SUM(D118:D127)</f>
        <v>5263.5</v>
      </c>
      <c r="E128" s="86">
        <f>SUM(E118:E127)</f>
        <v>6267.99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5263.5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31825.61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19821.68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-6647.2900000000009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50263.5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1460416.99</v>
      </c>
      <c r="D145" s="86">
        <f>(D115+D128+D144)</f>
        <v>5263.5</v>
      </c>
      <c r="E145" s="86">
        <f>(E115+E128+E144)</f>
        <v>32842.92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MARLOW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20667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20667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785618</v>
      </c>
      <c r="D10" s="182">
        <f>ROUND((C10/$C$28)*100,1)</f>
        <v>54.2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246094</v>
      </c>
      <c r="D11" s="182">
        <f>ROUND((C11/$C$28)*100,1)</f>
        <v>17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1383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77787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16439</v>
      </c>
      <c r="D16" s="182">
        <f t="shared" si="0"/>
        <v>1.1000000000000001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68950</v>
      </c>
      <c r="D17" s="182">
        <f t="shared" si="0"/>
        <v>4.8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101482</v>
      </c>
      <c r="D18" s="182">
        <f t="shared" si="0"/>
        <v>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1121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52732</v>
      </c>
      <c r="D20" s="182">
        <f t="shared" si="0"/>
        <v>3.6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91389</v>
      </c>
      <c r="D21" s="182">
        <f t="shared" si="0"/>
        <v>6.3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5264</v>
      </c>
      <c r="D27" s="182">
        <f t="shared" si="0"/>
        <v>0.4</v>
      </c>
    </row>
    <row r="28" spans="1:4" x14ac:dyDescent="0.2">
      <c r="B28" s="187" t="s">
        <v>722</v>
      </c>
      <c r="C28" s="180">
        <f>SUM(C10:C27)</f>
        <v>1448259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1448259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608668</v>
      </c>
      <c r="D35" s="182">
        <f t="shared" ref="D35:D40" si="1">ROUND((C35/$C$41)*100,1)</f>
        <v>44.6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28029.090000000084</v>
      </c>
      <c r="D36" s="182">
        <f t="shared" si="1"/>
        <v>2.1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647621</v>
      </c>
      <c r="D37" s="182">
        <f t="shared" si="1"/>
        <v>47.4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33606</v>
      </c>
      <c r="D38" s="182">
        <f t="shared" si="1"/>
        <v>2.5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46937</v>
      </c>
      <c r="D39" s="182">
        <f t="shared" si="1"/>
        <v>3.4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1364861.09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MARLOW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2017-09-14T15:50:04Z</cp:lastPrinted>
  <dcterms:created xsi:type="dcterms:W3CDTF">1997-12-04T19:04:30Z</dcterms:created>
  <dcterms:modified xsi:type="dcterms:W3CDTF">2017-11-29T17:43:01Z</dcterms:modified>
</cp:coreProperties>
</file>