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0" yWindow="0" windowWidth="28800" windowHeight="1233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359" i="1" l="1"/>
  <c r="H360" i="1"/>
  <c r="H358" i="1"/>
  <c r="G158" i="1"/>
  <c r="F24" i="1" l="1"/>
  <c r="F12" i="1" l="1"/>
  <c r="G465" i="1"/>
  <c r="G40" i="1"/>
  <c r="G35" i="1" l="1"/>
  <c r="H465" i="1" l="1"/>
  <c r="G16" i="1"/>
  <c r="J604" i="1" l="1"/>
  <c r="I604" i="1"/>
  <c r="H604" i="1"/>
  <c r="H665" i="1"/>
  <c r="G665" i="1"/>
  <c r="F665" i="1"/>
  <c r="G612" i="1"/>
  <c r="G613" i="1"/>
  <c r="G611" i="1"/>
  <c r="K532" i="1"/>
  <c r="K533" i="1"/>
  <c r="K531" i="1"/>
  <c r="J532" i="1"/>
  <c r="J533" i="1"/>
  <c r="J531" i="1"/>
  <c r="I532" i="1"/>
  <c r="I533" i="1"/>
  <c r="I531" i="1"/>
  <c r="H532" i="1"/>
  <c r="H533" i="1"/>
  <c r="H531" i="1"/>
  <c r="G532" i="1"/>
  <c r="G533" i="1"/>
  <c r="G531" i="1"/>
  <c r="F532" i="1"/>
  <c r="F533" i="1"/>
  <c r="F531" i="1"/>
  <c r="K344" i="1" l="1"/>
  <c r="J468" i="1"/>
  <c r="I468" i="1"/>
  <c r="F468" i="1"/>
  <c r="G97" i="1" l="1"/>
  <c r="J243" i="1"/>
  <c r="I243" i="1"/>
  <c r="H243" i="1"/>
  <c r="G243" i="1"/>
  <c r="F243" i="1"/>
  <c r="K240" i="1"/>
  <c r="J240" i="1"/>
  <c r="H240" i="1"/>
  <c r="G240" i="1"/>
  <c r="F240" i="1"/>
  <c r="G238" i="1"/>
  <c r="F238" i="1"/>
  <c r="J225" i="1"/>
  <c r="I225" i="1"/>
  <c r="H225" i="1"/>
  <c r="G225" i="1"/>
  <c r="F225" i="1"/>
  <c r="K222" i="1"/>
  <c r="H222" i="1"/>
  <c r="G222" i="1"/>
  <c r="F222" i="1"/>
  <c r="G220" i="1"/>
  <c r="F220" i="1"/>
  <c r="J207" i="1"/>
  <c r="I207" i="1"/>
  <c r="H207" i="1"/>
  <c r="G207" i="1"/>
  <c r="F207" i="1"/>
  <c r="K204" i="1"/>
  <c r="H204" i="1"/>
  <c r="G204" i="1"/>
  <c r="F204" i="1"/>
  <c r="G202" i="1"/>
  <c r="F202" i="1"/>
  <c r="F109" i="1" l="1"/>
  <c r="F101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22" i="2" s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C118" i="2" s="1"/>
  <c r="L220" i="1"/>
  <c r="L238" i="1"/>
  <c r="F7" i="13"/>
  <c r="G7" i="13"/>
  <c r="D7" i="13" s="1"/>
  <c r="C7" i="13" s="1"/>
  <c r="L203" i="1"/>
  <c r="L221" i="1"/>
  <c r="L239" i="1"/>
  <c r="C119" i="2" s="1"/>
  <c r="F12" i="13"/>
  <c r="G12" i="13"/>
  <c r="L205" i="1"/>
  <c r="L223" i="1"/>
  <c r="L241" i="1"/>
  <c r="C18" i="10" s="1"/>
  <c r="F14" i="13"/>
  <c r="G14" i="13"/>
  <c r="L207" i="1"/>
  <c r="L225" i="1"/>
  <c r="L243" i="1"/>
  <c r="F15" i="13"/>
  <c r="G15" i="13"/>
  <c r="L208" i="1"/>
  <c r="C21" i="10" s="1"/>
  <c r="L226" i="1"/>
  <c r="L244" i="1"/>
  <c r="F17" i="13"/>
  <c r="G17" i="13"/>
  <c r="D17" i="13" s="1"/>
  <c r="C17" i="13" s="1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H661" i="1" s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C11" i="10" s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L261" i="1"/>
  <c r="C25" i="10" s="1"/>
  <c r="L341" i="1"/>
  <c r="L342" i="1"/>
  <c r="L255" i="1"/>
  <c r="L336" i="1"/>
  <c r="E130" i="2" s="1"/>
  <c r="C11" i="13"/>
  <c r="C10" i="13"/>
  <c r="C9" i="13"/>
  <c r="L361" i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93" i="1" s="1"/>
  <c r="C138" i="2" s="1"/>
  <c r="L389" i="1"/>
  <c r="L390" i="1"/>
  <c r="L391" i="1"/>
  <c r="L392" i="1"/>
  <c r="L395" i="1"/>
  <c r="L396" i="1"/>
  <c r="L397" i="1"/>
  <c r="L398" i="1"/>
  <c r="L401" i="1" s="1"/>
  <c r="C139" i="2" s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H79" i="1"/>
  <c r="E57" i="2" s="1"/>
  <c r="E62" i="2" s="1"/>
  <c r="E63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6" i="10"/>
  <c r="L250" i="1"/>
  <c r="L332" i="1"/>
  <c r="L254" i="1"/>
  <c r="L268" i="1"/>
  <c r="L269" i="1"/>
  <c r="L349" i="1"/>
  <c r="C26" i="10" s="1"/>
  <c r="L350" i="1"/>
  <c r="I665" i="1"/>
  <c r="I670" i="1"/>
  <c r="G662" i="1"/>
  <c r="H662" i="1"/>
  <c r="I669" i="1"/>
  <c r="C42" i="10"/>
  <c r="C32" i="10"/>
  <c r="L374" i="1"/>
  <c r="F130" i="2" s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G552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J552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E31" i="2" s="1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0" i="2"/>
  <c r="E110" i="2"/>
  <c r="E111" i="2"/>
  <c r="C112" i="2"/>
  <c r="C113" i="2"/>
  <c r="E113" i="2"/>
  <c r="C114" i="2"/>
  <c r="D115" i="2"/>
  <c r="F115" i="2"/>
  <c r="G115" i="2"/>
  <c r="E119" i="2"/>
  <c r="E123" i="2"/>
  <c r="E124" i="2"/>
  <c r="C125" i="2"/>
  <c r="E125" i="2"/>
  <c r="F128" i="2"/>
  <c r="G128" i="2"/>
  <c r="C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H19" i="1"/>
  <c r="I19" i="1"/>
  <c r="G620" i="1" s="1"/>
  <c r="F32" i="1"/>
  <c r="F52" i="1" s="1"/>
  <c r="H617" i="1" s="1"/>
  <c r="G32" i="1"/>
  <c r="G52" i="1" s="1"/>
  <c r="H618" i="1" s="1"/>
  <c r="H32" i="1"/>
  <c r="I32" i="1"/>
  <c r="H51" i="1"/>
  <c r="I51" i="1"/>
  <c r="F177" i="1"/>
  <c r="I177" i="1"/>
  <c r="F183" i="1"/>
  <c r="F192" i="1" s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L256" i="1" s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F452" i="1"/>
  <c r="G452" i="1"/>
  <c r="H452" i="1"/>
  <c r="I452" i="1"/>
  <c r="F460" i="1"/>
  <c r="G460" i="1"/>
  <c r="H460" i="1"/>
  <c r="I460" i="1"/>
  <c r="F461" i="1"/>
  <c r="G461" i="1"/>
  <c r="H461" i="1"/>
  <c r="F470" i="1"/>
  <c r="I470" i="1"/>
  <c r="J470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H571" i="1" s="1"/>
  <c r="I560" i="1"/>
  <c r="J560" i="1"/>
  <c r="K560" i="1"/>
  <c r="K571" i="1" s="1"/>
  <c r="L562" i="1"/>
  <c r="L565" i="1" s="1"/>
  <c r="L563" i="1"/>
  <c r="L564" i="1"/>
  <c r="F565" i="1"/>
  <c r="G565" i="1"/>
  <c r="H565" i="1"/>
  <c r="I565" i="1"/>
  <c r="J565" i="1"/>
  <c r="J571" i="1" s="1"/>
  <c r="K565" i="1"/>
  <c r="L567" i="1"/>
  <c r="L568" i="1"/>
  <c r="L569" i="1"/>
  <c r="F570" i="1"/>
  <c r="F571" i="1" s="1"/>
  <c r="G570" i="1"/>
  <c r="H570" i="1"/>
  <c r="I570" i="1"/>
  <c r="I571" i="1" s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8" i="1" s="1"/>
  <c r="G647" i="1" s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9" i="1"/>
  <c r="G622" i="1"/>
  <c r="G623" i="1"/>
  <c r="G624" i="1"/>
  <c r="H627" i="1"/>
  <c r="H630" i="1"/>
  <c r="H631" i="1"/>
  <c r="H634" i="1"/>
  <c r="H636" i="1"/>
  <c r="H637" i="1"/>
  <c r="H638" i="1"/>
  <c r="H639" i="1"/>
  <c r="G640" i="1"/>
  <c r="H640" i="1"/>
  <c r="G641" i="1"/>
  <c r="J641" i="1" s="1"/>
  <c r="H641" i="1"/>
  <c r="G643" i="1"/>
  <c r="J643" i="1" s="1"/>
  <c r="H643" i="1"/>
  <c r="G644" i="1"/>
  <c r="H645" i="1"/>
  <c r="G650" i="1"/>
  <c r="G651" i="1"/>
  <c r="J651" i="1" s="1"/>
  <c r="G652" i="1"/>
  <c r="H652" i="1"/>
  <c r="G653" i="1"/>
  <c r="H653" i="1"/>
  <c r="G654" i="1"/>
  <c r="H654" i="1"/>
  <c r="H655" i="1"/>
  <c r="J655" i="1" s="1"/>
  <c r="D62" i="2"/>
  <c r="D63" i="2" s="1"/>
  <c r="F78" i="2"/>
  <c r="C78" i="2"/>
  <c r="D91" i="2"/>
  <c r="G62" i="2"/>
  <c r="D19" i="13"/>
  <c r="C19" i="13" s="1"/>
  <c r="E78" i="2"/>
  <c r="H112" i="1"/>
  <c r="L419" i="1"/>
  <c r="I169" i="1"/>
  <c r="J140" i="1"/>
  <c r="G22" i="2"/>
  <c r="H140" i="1"/>
  <c r="F22" i="13"/>
  <c r="C22" i="13" s="1"/>
  <c r="J640" i="1"/>
  <c r="H192" i="1"/>
  <c r="L570" i="1"/>
  <c r="G36" i="2"/>
  <c r="L362" i="1" l="1"/>
  <c r="G472" i="1" s="1"/>
  <c r="G474" i="1" s="1"/>
  <c r="G112" i="1"/>
  <c r="D31" i="2"/>
  <c r="D50" i="2"/>
  <c r="H635" i="1"/>
  <c r="A13" i="12"/>
  <c r="L534" i="1"/>
  <c r="H552" i="1"/>
  <c r="L544" i="1"/>
  <c r="K550" i="1"/>
  <c r="H545" i="1"/>
  <c r="J545" i="1"/>
  <c r="I545" i="1"/>
  <c r="K551" i="1"/>
  <c r="F552" i="1"/>
  <c r="K545" i="1"/>
  <c r="G545" i="1"/>
  <c r="K549" i="1"/>
  <c r="G157" i="2"/>
  <c r="H338" i="1"/>
  <c r="H352" i="1" s="1"/>
  <c r="E118" i="2"/>
  <c r="L309" i="1"/>
  <c r="E122" i="2"/>
  <c r="E120" i="2"/>
  <c r="E121" i="2"/>
  <c r="L328" i="1"/>
  <c r="E112" i="2"/>
  <c r="G338" i="1"/>
  <c r="G352" i="1" s="1"/>
  <c r="F338" i="1"/>
  <c r="F352" i="1" s="1"/>
  <c r="L290" i="1"/>
  <c r="L338" i="1" s="1"/>
  <c r="K605" i="1"/>
  <c r="G648" i="1" s="1"/>
  <c r="L270" i="1"/>
  <c r="J476" i="1"/>
  <c r="H626" i="1" s="1"/>
  <c r="I476" i="1"/>
  <c r="H625" i="1" s="1"/>
  <c r="I461" i="1"/>
  <c r="H642" i="1" s="1"/>
  <c r="I446" i="1"/>
  <c r="G642" i="1" s="1"/>
  <c r="J639" i="1"/>
  <c r="J634" i="1"/>
  <c r="G661" i="1"/>
  <c r="D29" i="13"/>
  <c r="C29" i="13" s="1"/>
  <c r="I52" i="1"/>
  <c r="H620" i="1" s="1"/>
  <c r="H52" i="1"/>
  <c r="H619" i="1" s="1"/>
  <c r="J619" i="1" s="1"/>
  <c r="J644" i="1"/>
  <c r="D14" i="13"/>
  <c r="C14" i="13" s="1"/>
  <c r="C121" i="2"/>
  <c r="L247" i="1"/>
  <c r="H660" i="1" s="1"/>
  <c r="H664" i="1" s="1"/>
  <c r="H667" i="1" s="1"/>
  <c r="A31" i="12"/>
  <c r="L229" i="1"/>
  <c r="C20" i="10"/>
  <c r="C123" i="2"/>
  <c r="H257" i="1"/>
  <c r="H271" i="1" s="1"/>
  <c r="C13" i="10"/>
  <c r="C12" i="10"/>
  <c r="J257" i="1"/>
  <c r="J271" i="1" s="1"/>
  <c r="I257" i="1"/>
  <c r="I271" i="1" s="1"/>
  <c r="G257" i="1"/>
  <c r="G271" i="1" s="1"/>
  <c r="F257" i="1"/>
  <c r="F271" i="1" s="1"/>
  <c r="C109" i="2"/>
  <c r="E16" i="13"/>
  <c r="C16" i="13" s="1"/>
  <c r="C17" i="10"/>
  <c r="D5" i="13"/>
  <c r="C5" i="13" s="1"/>
  <c r="K257" i="1"/>
  <c r="K271" i="1" s="1"/>
  <c r="L211" i="1"/>
  <c r="G645" i="1"/>
  <c r="J645" i="1" s="1"/>
  <c r="F112" i="1"/>
  <c r="J617" i="1"/>
  <c r="C18" i="2"/>
  <c r="K352" i="1"/>
  <c r="E109" i="2"/>
  <c r="E115" i="2" s="1"/>
  <c r="C62" i="2"/>
  <c r="F661" i="1"/>
  <c r="I661" i="1" s="1"/>
  <c r="C19" i="10"/>
  <c r="C15" i="10"/>
  <c r="C10" i="10"/>
  <c r="C81" i="2"/>
  <c r="E13" i="13"/>
  <c r="C13" i="13" s="1"/>
  <c r="D12" i="13"/>
  <c r="C12" i="13" s="1"/>
  <c r="L382" i="1"/>
  <c r="G636" i="1" s="1"/>
  <c r="J636" i="1" s="1"/>
  <c r="C35" i="10"/>
  <c r="C29" i="10"/>
  <c r="I552" i="1"/>
  <c r="D6" i="13"/>
  <c r="C6" i="13" s="1"/>
  <c r="D15" i="13"/>
  <c r="C15" i="13" s="1"/>
  <c r="G649" i="1"/>
  <c r="J649" i="1" s="1"/>
  <c r="J338" i="1"/>
  <c r="J352" i="1" s="1"/>
  <c r="D127" i="2"/>
  <c r="D128" i="2" s="1"/>
  <c r="D145" i="2" s="1"/>
  <c r="C124" i="2"/>
  <c r="C120" i="2"/>
  <c r="C111" i="2"/>
  <c r="C56" i="2"/>
  <c r="F662" i="1"/>
  <c r="I662" i="1" s="1"/>
  <c r="E8" i="13"/>
  <c r="C8" i="13" s="1"/>
  <c r="L539" i="1"/>
  <c r="K503" i="1"/>
  <c r="H25" i="13"/>
  <c r="E81" i="2"/>
  <c r="F81" i="2"/>
  <c r="L351" i="1"/>
  <c r="H647" i="1"/>
  <c r="J647" i="1" s="1"/>
  <c r="G625" i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H193" i="1"/>
  <c r="G169" i="1"/>
  <c r="C39" i="10" s="1"/>
  <c r="G140" i="1"/>
  <c r="F140" i="1"/>
  <c r="F193" i="1" s="1"/>
  <c r="G627" i="1" s="1"/>
  <c r="J627" i="1" s="1"/>
  <c r="C36" i="10"/>
  <c r="G63" i="2"/>
  <c r="G42" i="2"/>
  <c r="G50" i="2" s="1"/>
  <c r="G51" i="2" s="1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J652" i="1"/>
  <c r="J642" i="1"/>
  <c r="G571" i="1"/>
  <c r="I434" i="1"/>
  <c r="G434" i="1"/>
  <c r="I663" i="1"/>
  <c r="C27" i="10"/>
  <c r="G635" i="1"/>
  <c r="J635" i="1" s="1"/>
  <c r="G629" i="1" l="1"/>
  <c r="H468" i="1"/>
  <c r="D51" i="2"/>
  <c r="K552" i="1"/>
  <c r="L352" i="1"/>
  <c r="E128" i="2"/>
  <c r="G660" i="1"/>
  <c r="G664" i="1" s="1"/>
  <c r="G672" i="1" s="1"/>
  <c r="C5" i="10" s="1"/>
  <c r="D31" i="13"/>
  <c r="C31" i="13" s="1"/>
  <c r="F33" i="13"/>
  <c r="E145" i="2"/>
  <c r="G633" i="1"/>
  <c r="H472" i="1"/>
  <c r="J625" i="1"/>
  <c r="E104" i="2"/>
  <c r="F104" i="2"/>
  <c r="C128" i="2"/>
  <c r="L257" i="1"/>
  <c r="L271" i="1" s="1"/>
  <c r="H648" i="1"/>
  <c r="J648" i="1" s="1"/>
  <c r="H672" i="1"/>
  <c r="C6" i="10" s="1"/>
  <c r="C115" i="2"/>
  <c r="F660" i="1"/>
  <c r="G104" i="2"/>
  <c r="C63" i="2"/>
  <c r="C104" i="2" s="1"/>
  <c r="C25" i="13"/>
  <c r="H33" i="13"/>
  <c r="L408" i="1"/>
  <c r="L545" i="1"/>
  <c r="E33" i="13"/>
  <c r="D35" i="13" s="1"/>
  <c r="C28" i="10"/>
  <c r="D22" i="10" s="1"/>
  <c r="C51" i="2"/>
  <c r="G631" i="1"/>
  <c r="J631" i="1" s="1"/>
  <c r="G193" i="1"/>
  <c r="G626" i="1"/>
  <c r="J626" i="1" s="1"/>
  <c r="J52" i="1"/>
  <c r="H621" i="1" s="1"/>
  <c r="J621" i="1" s="1"/>
  <c r="C38" i="10"/>
  <c r="H470" i="1" l="1"/>
  <c r="H629" i="1"/>
  <c r="J629" i="1" s="1"/>
  <c r="I660" i="1"/>
  <c r="I664" i="1" s="1"/>
  <c r="I672" i="1" s="1"/>
  <c r="C7" i="10" s="1"/>
  <c r="G628" i="1"/>
  <c r="G468" i="1"/>
  <c r="D33" i="13"/>
  <c r="D36" i="13" s="1"/>
  <c r="H633" i="1"/>
  <c r="J633" i="1" s="1"/>
  <c r="H474" i="1"/>
  <c r="H476" i="1" s="1"/>
  <c r="H624" i="1" s="1"/>
  <c r="J624" i="1" s="1"/>
  <c r="G667" i="1"/>
  <c r="G632" i="1"/>
  <c r="F472" i="1"/>
  <c r="C145" i="2"/>
  <c r="F664" i="1"/>
  <c r="F672" i="1" s="1"/>
  <c r="C4" i="10" s="1"/>
  <c r="D27" i="10"/>
  <c r="D18" i="10"/>
  <c r="D17" i="10"/>
  <c r="D12" i="10"/>
  <c r="D24" i="10"/>
  <c r="G637" i="1"/>
  <c r="J637" i="1" s="1"/>
  <c r="H646" i="1"/>
  <c r="J646" i="1" s="1"/>
  <c r="D10" i="10"/>
  <c r="D26" i="10"/>
  <c r="C30" i="10"/>
  <c r="D16" i="10"/>
  <c r="D23" i="10"/>
  <c r="D15" i="10"/>
  <c r="D25" i="10"/>
  <c r="D19" i="10"/>
  <c r="D20" i="10"/>
  <c r="D13" i="10"/>
  <c r="D11" i="10"/>
  <c r="D21" i="10"/>
  <c r="I667" i="1"/>
  <c r="C41" i="10"/>
  <c r="D38" i="10" s="1"/>
  <c r="H628" i="1" l="1"/>
  <c r="J628" i="1" s="1"/>
  <c r="G470" i="1"/>
  <c r="G476" i="1" s="1"/>
  <c r="H623" i="1" s="1"/>
  <c r="J623" i="1" s="1"/>
  <c r="H632" i="1"/>
  <c r="F474" i="1"/>
  <c r="F476" i="1" s="1"/>
  <c r="H622" i="1" s="1"/>
  <c r="J622" i="1" s="1"/>
  <c r="J632" i="1"/>
  <c r="F667" i="1"/>
  <c r="D28" i="10"/>
  <c r="D37" i="10"/>
  <c r="D36" i="10"/>
  <c r="D35" i="10"/>
  <c r="D40" i="10"/>
  <c r="D39" i="10"/>
  <c r="D41" i="10" l="1"/>
  <c r="G19" i="1"/>
  <c r="G618" i="1" s="1"/>
  <c r="D13" i="2"/>
  <c r="D18" i="2" s="1"/>
  <c r="J618" i="1" l="1"/>
  <c r="H656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<sst xmlns="http://schemas.openxmlformats.org/spreadsheetml/2006/main" count="3957" uniqueCount="915">
  <si>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</si>
  <si>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</si>
  <si>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</si>
  <si>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</si>
  <si>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</si>
  <si>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</si>
  <si>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</si>
  <si>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</si>
  <si>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</si>
  <si>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</si>
  <si>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</si>
  <si>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</si>
  <si>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</si>
  <si>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</si>
  <si>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</si>
  <si>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</si>
  <si>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</si>
  <si>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</si>
  <si>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</si>
  <si>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</si>
  <si>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</si>
  <si>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</si>
  <si>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</si>
  <si>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</si>
  <si>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</si>
  <si>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</si>
  <si>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</si>
  <si>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</si>
  <si>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</si>
  <si>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</si>
  <si>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</si>
  <si>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</si>
  <si>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</si>
  <si>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</si>
  <si>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</si>
  <si>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</si>
  <si>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</si>
  <si>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</si>
  <si>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</si>
  <si>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</si>
  <si>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</si>
  <si>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</si>
  <si>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</si>
  <si>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</si>
  <si>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</si>
  <si>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</si>
  <si>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</si>
  <si>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</si>
  <si>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</si>
  <si>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</si>
  <si>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</si>
  <si>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</si>
  <si>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</si>
  <si>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</si>
  <si>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</si>
  <si>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</si>
  <si>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</si>
  <si>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</si>
  <si>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</si>
  <si>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</si>
  <si>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</si>
  <si>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</si>
  <si>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</si>
  <si>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</si>
  <si>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</si>
  <si>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</si>
  <si>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</si>
  <si>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</si>
  <si>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</si>
  <si>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</si>
  <si>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</si>
  <si>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</si>
  <si>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</si>
  <si>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</si>
  <si>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</si>
  <si>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</si>
  <si>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</si>
  <si>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</si>
  <si>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</si>
  <si>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</si>
  <si>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</si>
  <si>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</si>
  <si>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</si>
  <si>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</si>
  <si>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</si>
  <si>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</si>
  <si>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</si>
  <si>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</si>
  <si>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</si>
  <si>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</si>
  <si>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</si>
  <si>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</si>
  <si>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</si>
  <si>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</si>
  <si>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</si>
  <si>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</si>
  <si>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</si>
  <si>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</si>
  <si>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</si>
  <si>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</si>
  <si>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</si>
  <si>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</si>
  <si>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</si>
  <si>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</si>
  <si>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</si>
  <si>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</si>
  <si>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</si>
  <si>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</si>
  <si>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</si>
  <si>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</si>
  <si>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</si>
  <si>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</si>
  <si>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</si>
  <si>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</si>
  <si>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</si>
  <si>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</si>
  <si>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</si>
  <si>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</si>
  <si>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</si>
  <si>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</si>
  <si>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</si>
  <si>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</si>
  <si>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</si>
  <si>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</si>
  <si>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</si>
  <si>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</si>
  <si>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</si>
  <si>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</si>
  <si>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</si>
  <si>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</si>
  <si>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</si>
  <si>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</si>
  <si>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</si>
  <si>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</si>
  <si>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</si>
  <si>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</si>
  <si>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</si>
  <si>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</si>
  <si>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</si>
  <si>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</si>
  <si>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</si>
  <si>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</si>
  <si>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</si>
  <si>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</si>
  <si>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</si>
  <si>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</si>
  <si>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</si>
  <si>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</si>
  <si>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</si>
  <si>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</si>
  <si>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</si>
  <si>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</si>
  <si>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</si>
  <si>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</si>
  <si>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</si>
  <si>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</si>
  <si>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</si>
  <si>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</si>
  <si>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</si>
  <si>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</si>
  <si>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</si>
  <si>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</si>
  <si>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</si>
  <si>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</si>
  <si>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</si>
  <si>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</si>
  <si>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</si>
  <si>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</si>
  <si>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</si>
  <si>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</si>
  <si>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</si>
  <si>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</si>
  <si>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</si>
  <si>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</si>
  <si>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</si>
  <si>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</si>
  <si>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</si>
  <si>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</si>
  <si>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</si>
  <si>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</si>
  <si>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</si>
  <si>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</si>
  <si>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</si>
  <si>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</si>
  <si>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</si>
  <si>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</si>
  <si>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</si>
  <si>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</si>
  <si>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</si>
  <si>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</si>
  <si>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</si>
  <si>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</si>
  <si>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</si>
  <si>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</si>
  <si>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</si>
  <si>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</si>
  <si>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</si>
  <si>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</si>
  <si>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</si>
  <si>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</si>
  <si>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</si>
  <si>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</si>
  <si>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</si>
  <si>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</si>
  <si>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</si>
  <si>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</si>
  <si>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</si>
  <si>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</si>
  <si>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</si>
  <si>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</si>
  <si>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</si>
  <si>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</si>
  <si>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</si>
  <si>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</si>
  <si>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</si>
  <si>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</si>
  <si>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</si>
  <si>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</si>
  <si>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</si>
  <si>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</si>
  <si>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</si>
  <si>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</si>
  <si>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</si>
  <si>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</si>
  <si>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</si>
  <si>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</si>
  <si>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</si>
  <si>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</si>
  <si>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</si>
  <si>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</si>
  <si>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</si>
  <si>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</si>
  <si>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</si>
  <si>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</si>
  <si>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</si>
  <si>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</si>
  <si>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</si>
  <si>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</si>
  <si>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</si>
  <si>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</si>
  <si>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</si>
  <si>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</si>
  <si>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</si>
  <si>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</si>
  <si>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</si>
  <si>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</si>
  <si>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</si>
  <si>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</si>
  <si>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</si>
  <si>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</si>
  <si>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</si>
  <si>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</si>
  <si>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</si>
  <si>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</si>
  <si>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</si>
  <si>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</si>
  <si>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</si>
  <si>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</si>
  <si>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</si>
  <si>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</si>
  <si>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</si>
  <si>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</si>
  <si>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</si>
  <si>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</si>
  <si>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</si>
  <si>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</si>
  <si>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</si>
  <si>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</si>
  <si>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</si>
  <si>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</si>
  <si>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</si>
  <si>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</si>
  <si>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</si>
  <si>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</si>
  <si>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</si>
  <si>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</si>
  <si>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</si>
  <si>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</si>
  <si>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</si>
  <si>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</si>
  <si>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</si>
  <si>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</si>
  <si>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</si>
  <si>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</si>
  <si>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</si>
  <si>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</si>
  <si>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</si>
  <si>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</si>
  <si>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</si>
  <si>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</si>
  <si>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</si>
  <si>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</si>
  <si>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</si>
  <si>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</si>
  <si>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</si>
  <si>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</si>
  <si>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</si>
  <si>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</si>
  <si>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</si>
  <si>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</si>
  <si>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</si>
  <si>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</si>
  <si>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</si>
  <si>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</si>
  <si>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</si>
  <si>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</si>
  <si>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</si>
  <si>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</si>
  <si>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</si>
  <si>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</si>
  <si>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</si>
  <si>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</si>
  <si>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</si>
  <si>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</si>
  <si>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</si>
  <si>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</si>
  <si>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</si>
  <si>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</si>
  <si>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</si>
  <si>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</si>
  <si>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</si>
  <si>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</si>
  <si>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</si>
  <si>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</si>
  <si>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</si>
  <si>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</si>
  <si>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</si>
  <si>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</si>
  <si>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</si>
  <si>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</si>
  <si>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</si>
  <si>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</si>
  <si>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</si>
  <si>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</si>
  <si>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</si>
  <si>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</si>
  <si>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</si>
  <si>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</si>
  <si>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</si>
  <si>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</si>
  <si>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</si>
  <si>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</si>
  <si>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</si>
  <si>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</si>
  <si>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</si>
  <si>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</si>
  <si>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</si>
  <si>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</si>
  <si>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</si>
  <si>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</si>
  <si>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</si>
  <si>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</si>
  <si>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</si>
  <si>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</si>
  <si>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</si>
  <si>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</si>
  <si>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</si>
  <si>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</si>
  <si>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</si>
  <si>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</si>
  <si>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</si>
  <si>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</si>
  <si>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</si>
  <si>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</si>
  <si>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</si>
  <si>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</si>
  <si>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</si>
  <si>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</si>
  <si>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</si>
  <si>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</si>
  <si>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</si>
  <si>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</si>
  <si>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</si>
  <si>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</si>
  <si>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</si>
  <si>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</si>
  <si>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</si>
  <si>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</si>
  <si>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</si>
  <si>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</si>
  <si>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</si>
  <si>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</si>
  <si>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</si>
  <si>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</si>
  <si>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</si>
  <si>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</si>
  <si>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</si>
  <si>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</si>
  <si>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</si>
  <si>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</si>
  <si>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</si>
  <si>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</si>
  <si>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</si>
  <si>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</si>
  <si>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</si>
  <si>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</si>
  <si>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</si>
  <si>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</si>
  <si>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</si>
  <si>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</si>
  <si>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</si>
  <si>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</si>
  <si>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</si>
  <si>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</si>
  <si>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</si>
  <si>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</si>
  <si>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</si>
  <si>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</si>
  <si>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</si>
  <si>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</si>
  <si>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</si>
  <si>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</si>
  <si>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</si>
  <si>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</si>
  <si>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</si>
  <si>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</si>
  <si>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</si>
  <si>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</si>
  <si>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</si>
  <si>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</si>
  <si>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</si>
  <si>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</si>
  <si>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</si>
  <si>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</si>
  <si>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</si>
  <si>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</si>
  <si>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</si>
  <si>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</si>
  <si>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</si>
  <si>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</si>
  <si>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</si>
  <si>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</si>
  <si>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</si>
  <si>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</si>
  <si>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</si>
  <si>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</si>
  <si>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</si>
  <si>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</si>
  <si>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</si>
  <si>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</si>
  <si>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</si>
  <si>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</si>
  <si>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</si>
  <si>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</si>
  <si>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</si>
  <si>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</si>
  <si>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</si>
  <si>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</si>
  <si>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</si>
  <si>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</si>
  <si>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</si>
  <si>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</si>
  <si>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</si>
  <si>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</si>
  <si>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</si>
  <si>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</si>
  <si>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</si>
  <si>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</si>
  <si>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</si>
  <si>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</si>
  <si>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</si>
  <si>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</si>
  <si>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</si>
  <si>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</si>
  <si>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</si>
  <si>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</si>
  <si>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</si>
  <si>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</si>
  <si>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</si>
  <si>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</si>
  <si>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</si>
  <si>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</si>
  <si>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</si>
  <si>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</si>
  <si>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</si>
  <si>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</si>
  <si>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</si>
  <si>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</si>
  <si>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</si>
  <si>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</si>
  <si>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</si>
  <si>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</si>
  <si>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</si>
  <si>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</si>
  <si>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</si>
  <si>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</si>
  <si>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</si>
  <si>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</si>
  <si>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</si>
  <si>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</si>
  <si>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</si>
  <si>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</si>
  <si>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</si>
  <si>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</si>
  <si>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</si>
  <si>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</si>
  <si>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</si>
  <si>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</si>
  <si>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</si>
  <si>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</si>
  <si>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</si>
  <si>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</si>
  <si>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</si>
  <si>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</si>
  <si>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</si>
  <si>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</si>
  <si>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</si>
  <si>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</si>
  <si>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</si>
  <si>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</si>
  <si>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</si>
  <si>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</si>
  <si>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</si>
  <si>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</si>
  <si>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</si>
  <si>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</si>
  <si>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</si>
  <si>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</si>
  <si>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</si>
  <si>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</si>
  <si>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</si>
  <si>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</si>
  <si>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</si>
  <si>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</si>
  <si>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</si>
  <si>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</si>
  <si>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</si>
  <si>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</si>
  <si>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</si>
  <si>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</si>
  <si>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</si>
  <si>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</si>
  <si>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</si>
  <si>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</si>
  <si>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</si>
  <si>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</si>
  <si>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</si>
  <si>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</si>
  <si>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</si>
  <si>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</si>
  <si>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</si>
  <si>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</si>
  <si>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</si>
  <si>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</si>
  <si>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</si>
  <si>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</si>
  <si>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</si>
  <si>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</si>
  <si>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</si>
  <si>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</si>
  <si>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</si>
  <si>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</si>
  <si>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</si>
  <si>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</si>
  <si>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</si>
  <si>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</si>
  <si>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</si>
  <si>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</si>
  <si>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</si>
  <si>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</si>
  <si>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</si>
  <si>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</si>
  <si>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</si>
  <si>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</si>
  <si>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</si>
  <si>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</si>
  <si>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</si>
  <si>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</si>
  <si>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</si>
  <si>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</si>
  <si>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</si>
  <si>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</si>
  <si>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</si>
  <si>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</si>
  <si>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</si>
  <si>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</si>
  <si>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</si>
  <si>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</si>
  <si>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</si>
  <si>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</si>
  <si>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</si>
  <si>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</si>
  <si>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</si>
  <si>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</si>
  <si>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</si>
  <si>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</si>
  <si>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</si>
  <si>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</si>
  <si>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</si>
  <si>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</si>
  <si>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</si>
  <si>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</si>
  <si>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</si>
  <si>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</si>
  <si>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</si>
  <si>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</si>
  <si>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</si>
  <si>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</si>
  <si>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</si>
  <si>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</si>
  <si>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</si>
  <si>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</si>
  <si>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</si>
  <si>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</si>
  <si>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</si>
  <si>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</si>
  <si>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</si>
  <si>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</si>
  <si>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</si>
  <si>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</si>
  <si>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</si>
  <si>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</si>
  <si>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</si>
  <si>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</si>
  <si>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</si>
  <si>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</si>
  <si>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</si>
  <si>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</si>
  <si>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</si>
  <si>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</si>
  <si>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</si>
  <si>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</si>
  <si>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</si>
  <si>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</si>
  <si>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</si>
  <si>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</si>
  <si>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</si>
  <si>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</si>
  <si>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</si>
  <si>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</si>
  <si>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</si>
  <si>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</si>
  <si>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</si>
  <si>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</si>
  <si>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</si>
  <si>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</si>
  <si>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</si>
  <si>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</si>
  <si>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</si>
  <si>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</si>
  <si>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</si>
  <si>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</si>
  <si>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</si>
  <si>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</si>
  <si>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</si>
  <si>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</si>
  <si>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</si>
  <si>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</si>
  <si>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</si>
  <si>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</si>
  <si>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</si>
  <si>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</si>
  <si>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</si>
  <si>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</si>
  <si>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</si>
  <si>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</si>
  <si>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</si>
  <si>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</si>
  <si>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</si>
  <si>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</si>
  <si>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</si>
  <si>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</si>
  <si>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</si>
  <si>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</si>
  <si>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</si>
  <si>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</si>
  <si>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</si>
  <si>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</si>
  <si>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</si>
  <si>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</si>
  <si>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</si>
  <si>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</si>
  <si>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</si>
  <si>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</si>
  <si>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</si>
  <si>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</si>
  <si>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</si>
  <si>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</si>
  <si>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</si>
  <si>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</si>
  <si>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</si>
  <si>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</si>
  <si>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</si>
  <si>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</si>
  <si>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</si>
  <si>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</si>
  <si>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</si>
  <si>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</si>
  <si>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</si>
  <si>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</si>
  <si>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</si>
  <si>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</si>
  <si>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</si>
  <si>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</si>
  <si>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</si>
  <si>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</si>
  <si>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</si>
  <si>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</si>
  <si>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</si>
  <si>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</si>
  <si>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</si>
  <si>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</si>
  <si>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</si>
  <si>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</si>
  <si>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</si>
  <si>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</si>
  <si>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</si>
  <si>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</si>
  <si>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</si>
  <si>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</si>
  <si>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</si>
  <si>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</si>
  <si>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</si>
  <si>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</si>
  <si>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</si>
  <si>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</si>
  <si>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</si>
  <si>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</si>
  <si>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</si>
  <si>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</si>
  <si>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</si>
  <si>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</si>
  <si>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</si>
  <si>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</si>
  <si>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</si>
  <si>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</si>
  <si>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</si>
  <si>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</si>
  <si>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</si>
  <si>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</si>
  <si>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</si>
  <si>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</si>
  <si>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</si>
  <si>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</si>
  <si>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</si>
  <si>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</si>
  <si>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</si>
  <si>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</si>
  <si>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</si>
  <si>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</si>
  <si>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</si>
  <si>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</si>
  <si>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</si>
  <si>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</si>
  <si>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</si>
  <si>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</si>
  <si>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</si>
  <si>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</si>
  <si>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</si>
  <si>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</si>
  <si>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</si>
  <si>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</si>
  <si>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</si>
  <si>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</si>
  <si>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</si>
  <si>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</si>
  <si>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</si>
  <si>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</si>
  <si>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</si>
  <si>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</si>
  <si>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</si>
  <si>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</si>
  <si>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</si>
  <si>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</si>
  <si>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</si>
  <si>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</si>
  <si>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</si>
  <si>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</si>
  <si>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</si>
  <si>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</si>
  <si>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</si>
  <si>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</si>
  <si>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</si>
  <si>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</si>
  <si>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</si>
  <si>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</si>
  <si>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</si>
  <si>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</si>
  <si>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</si>
  <si>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</si>
  <si>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</si>
  <si>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</si>
  <si>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</si>
  <si>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</si>
  <si>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</si>
  <si>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</si>
  <si>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</si>
  <si>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</si>
  <si>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</si>
  <si>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</si>
  <si>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</si>
  <si>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</si>
  <si>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</si>
  <si>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</si>
  <si>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</si>
  <si>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</si>
  <si>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</si>
  <si>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</si>
  <si>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</si>
  <si>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</si>
  <si>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</si>
  <si>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</si>
  <si>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</si>
  <si>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</si>
  <si>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</si>
  <si>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</si>
  <si>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</si>
  <si>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</si>
  <si>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</si>
  <si>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</si>
  <si>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</si>
  <si>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</si>
  <si>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</si>
  <si>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</si>
  <si>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</si>
  <si>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</si>
  <si>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</si>
  <si>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</si>
  <si>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</si>
  <si>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</si>
  <si>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</si>
  <si>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</si>
  <si>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</si>
  <si>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</si>
  <si>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</si>
  <si>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</si>
  <si>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</si>
  <si>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</si>
  <si>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</si>
  <si>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</si>
  <si>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</si>
  <si>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</si>
  <si>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</si>
  <si>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</si>
  <si>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</si>
  <si>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</si>
  <si>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</si>
  <si>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</si>
  <si>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</si>
  <si>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</si>
  <si>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</si>
  <si>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</si>
  <si>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</si>
  <si>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</si>
  <si>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</si>
  <si>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</si>
  <si>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</si>
  <si>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</si>
  <si>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</si>
  <si>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</si>
  <si>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</si>
  <si>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</si>
  <si>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</si>
  <si>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</si>
  <si>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</si>
  <si>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</si>
  <si>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</si>
  <si>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</si>
  <si>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</si>
  <si>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</si>
  <si>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</si>
  <si>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</si>
  <si>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</si>
  <si>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</si>
  <si>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</si>
  <si>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</si>
  <si>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</si>
  <si>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</si>
  <si>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</si>
  <si>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</si>
  <si>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</si>
  <si>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</si>
  <si>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</si>
  <si>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</si>
  <si>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</si>
  <si>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</si>
  <si>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</si>
  <si>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</si>
  <si>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</si>
  <si>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</si>
  <si>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</si>
  <si>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</si>
  <si>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</si>
  <si>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</si>
  <si>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</si>
  <si>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</si>
  <si>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</si>
  <si>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</si>
  <si>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</si>
  <si>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</si>
  <si>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</si>
  <si>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</si>
  <si>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</si>
  <si>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</si>
  <si>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</si>
  <si>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</si>
  <si>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</si>
  <si>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</si>
  <si>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</si>
  <si>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</si>
  <si>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</si>
  <si>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</si>
  <si>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</si>
  <si>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</si>
  <si>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</si>
  <si>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</si>
  <si>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</si>
  <si>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</si>
  <si>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</si>
  <si>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</si>
  <si>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</si>
  <si>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</si>
  <si>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06/10</t>
  </si>
  <si>
    <t>09/26</t>
  </si>
  <si>
    <t>MASCENIC REGIONAL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</si>
</sst>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75" workbookViewId="0">
      <pane xSplit="5" ySplit="3" topLeftCell="F616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914</v>
      </c>
      <c r="B2" s="21">
        <v>342</v>
      </c>
      <c r="C2" s="21">
        <v>0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1318474.97</v>
      </c>
      <c r="G9" s="18"/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517691.73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f>168533.58</f>
        <v>168533.58</v>
      </c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/>
      <c r="G13" s="18">
        <v>5749.27</v>
      </c>
      <c r="H13" s="18"/>
      <c r="I13" s="18">
        <v>0</v>
      </c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78554.83</v>
      </c>
      <c r="G14" s="18">
        <v>42145.21</v>
      </c>
      <c r="H14" s="18">
        <v>131501.09</v>
      </c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>
        <f>G35</f>
        <v>6942.05</v>
      </c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1565563.3800000001</v>
      </c>
      <c r="G19" s="41">
        <f>SUM(G9:G18)</f>
        <v>54836.53</v>
      </c>
      <c r="H19" s="41">
        <f>SUM(H9:H18)</f>
        <v>131501.09</v>
      </c>
      <c r="I19" s="41">
        <f>SUM(I9:I18)</f>
        <v>0</v>
      </c>
      <c r="J19" s="41">
        <f>SUM(J9:J18)</f>
        <v>517691.73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>
        <v>40180.660000000003</v>
      </c>
      <c r="H22" s="18">
        <v>128352.92</v>
      </c>
      <c r="I22" s="18">
        <v>0</v>
      </c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f>106879.89</f>
        <v>106879.89</v>
      </c>
      <c r="G24" s="18">
        <v>2197</v>
      </c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41757.81</v>
      </c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>
        <v>7291.04</v>
      </c>
      <c r="G30" s="18">
        <v>5373.03</v>
      </c>
      <c r="H30" s="18">
        <v>653.41999999999996</v>
      </c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155928.74000000002</v>
      </c>
      <c r="G32" s="41">
        <f>SUM(G22:G31)</f>
        <v>47750.69</v>
      </c>
      <c r="H32" s="41">
        <f>SUM(H22:H31)</f>
        <v>129006.34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>
        <f>2624.62+2594.04+1723.39</f>
        <v>6942.05</v>
      </c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>
        <v>2494.75</v>
      </c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>
        <f>143.79</f>
        <v>143.79</v>
      </c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85000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218168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>
        <v>0</v>
      </c>
      <c r="H48" s="18"/>
      <c r="I48" s="18">
        <v>0</v>
      </c>
      <c r="J48" s="13">
        <f>SUM(I459)</f>
        <v>517691.73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82673.429999999993</v>
      </c>
      <c r="G49" s="18">
        <v>0</v>
      </c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1023793.21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1409634.64</v>
      </c>
      <c r="G51" s="41">
        <f>SUM(G35:G50)</f>
        <v>7085.84</v>
      </c>
      <c r="H51" s="41">
        <f>SUM(H35:H50)</f>
        <v>2494.75</v>
      </c>
      <c r="I51" s="41">
        <f>SUM(I35:I50)</f>
        <v>0</v>
      </c>
      <c r="J51" s="41">
        <f>SUM(J35:J50)</f>
        <v>517691.73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1565563.38</v>
      </c>
      <c r="G52" s="41">
        <f>G51+G32</f>
        <v>54836.53</v>
      </c>
      <c r="H52" s="41">
        <f>H51+H32</f>
        <v>131501.09</v>
      </c>
      <c r="I52" s="41">
        <f>I51+I32</f>
        <v>0</v>
      </c>
      <c r="J52" s="41">
        <f>J51+J32</f>
        <v>517691.73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7653474.5199999996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>
        <v>0</v>
      </c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7653474.5199999996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10050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>
        <v>21580</v>
      </c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>
        <v>24894.44</v>
      </c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56524.44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1.57</v>
      </c>
      <c r="G96" s="18"/>
      <c r="H96" s="18"/>
      <c r="I96" s="18">
        <v>0</v>
      </c>
      <c r="J96" s="18">
        <v>12216.05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f>150303.02+132.1+3117.16</f>
        <v>153552.28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f>18312.75-7778.85</f>
        <v>10533.9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>
        <v>1195.49</v>
      </c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f>61710.39-5638.83</f>
        <v>56071.56</v>
      </c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/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67802.51999999999</v>
      </c>
      <c r="G111" s="41">
        <f>SUM(G96:G110)</f>
        <v>153552.28</v>
      </c>
      <c r="H111" s="41">
        <f>SUM(H96:H110)</f>
        <v>0</v>
      </c>
      <c r="I111" s="41">
        <f>SUM(I96:I110)</f>
        <v>0</v>
      </c>
      <c r="J111" s="41">
        <f>SUM(J96:J110)</f>
        <v>12216.05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7777801.4799999995</v>
      </c>
      <c r="G112" s="41">
        <f>G60+G111</f>
        <v>153552.28</v>
      </c>
      <c r="H112" s="41">
        <f>H60+H79+H94+H111</f>
        <v>0</v>
      </c>
      <c r="I112" s="41">
        <f>I60+I111</f>
        <v>0</v>
      </c>
      <c r="J112" s="41">
        <f>J60+J111</f>
        <v>12216.05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5492642.4800000004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1073259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6565901.4800000004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797013.02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43588.61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>
        <v>79718.31</v>
      </c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v>2632.5</v>
      </c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5494.38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922952.44</v>
      </c>
      <c r="G136" s="41">
        <f>SUM(G123:G135)</f>
        <v>5494.38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7488853.9199999999</v>
      </c>
      <c r="G140" s="41">
        <f>G121+SUM(G136:G137)</f>
        <v>5494.38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263381.03999999998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84461.74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f>190372.52+30384.22</f>
        <v>220756.74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v>230990.1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71477.75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>
        <v>20993.69</v>
      </c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71477.75</v>
      </c>
      <c r="G162" s="41">
        <f>SUM(G150:G161)</f>
        <v>241750.43</v>
      </c>
      <c r="H162" s="41">
        <f>SUM(H150:H161)</f>
        <v>578832.88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71477.75</v>
      </c>
      <c r="G169" s="41">
        <f>G147+G162+SUM(G163:G168)</f>
        <v>241750.43</v>
      </c>
      <c r="H169" s="41">
        <f>H147+H162+SUM(H163:H168)</f>
        <v>578832.88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>
        <v>777613.95</v>
      </c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777613.95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>
        <v>0</v>
      </c>
      <c r="J179" s="18">
        <v>85000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>
        <v>39742.120000000003</v>
      </c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39742.120000000003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85000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817356.07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85000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16155489.219999999</v>
      </c>
      <c r="G193" s="47">
        <f>G112+G140+G169+G192</f>
        <v>400797.08999999997</v>
      </c>
      <c r="H193" s="47">
        <f>H112+H140+H169+H192</f>
        <v>578832.88</v>
      </c>
      <c r="I193" s="47">
        <f>I112+I140+I169+I192</f>
        <v>0</v>
      </c>
      <c r="J193" s="47">
        <f>J112+J140+J192</f>
        <v>97216.05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1224964.82</v>
      </c>
      <c r="G197" s="18">
        <v>662856.88</v>
      </c>
      <c r="H197" s="18">
        <v>20165.59</v>
      </c>
      <c r="I197" s="18">
        <v>114637.28</v>
      </c>
      <c r="J197" s="18">
        <v>20309.7</v>
      </c>
      <c r="K197" s="18">
        <v>0</v>
      </c>
      <c r="L197" s="19">
        <f>SUM(F197:K197)</f>
        <v>2042934.2700000003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239413.24</v>
      </c>
      <c r="G198" s="18">
        <v>135975.82999999999</v>
      </c>
      <c r="H198" s="18">
        <v>98002.04</v>
      </c>
      <c r="I198" s="18">
        <v>733.28</v>
      </c>
      <c r="J198" s="18">
        <v>1384.89</v>
      </c>
      <c r="K198" s="18">
        <v>0</v>
      </c>
      <c r="L198" s="19">
        <f>SUM(F198:K198)</f>
        <v>475509.27999999997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1553</v>
      </c>
      <c r="G200" s="18">
        <v>285.02999999999997</v>
      </c>
      <c r="H200" s="18">
        <v>0</v>
      </c>
      <c r="I200" s="18">
        <v>1498.36</v>
      </c>
      <c r="J200" s="18">
        <v>0</v>
      </c>
      <c r="K200" s="18">
        <v>0</v>
      </c>
      <c r="L200" s="19">
        <f>SUM(F200:K200)</f>
        <v>3336.39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f>224006.57+5936.66</f>
        <v>229943.23</v>
      </c>
      <c r="G202" s="18">
        <f>112710.23+924.51</f>
        <v>113634.73999999999</v>
      </c>
      <c r="H202" s="18">
        <v>55877.18</v>
      </c>
      <c r="I202" s="18">
        <v>3698.45</v>
      </c>
      <c r="J202" s="18">
        <v>0</v>
      </c>
      <c r="K202" s="18">
        <v>0</v>
      </c>
      <c r="L202" s="19">
        <f t="shared" ref="L202:L208" si="0">SUM(F202:K202)</f>
        <v>403153.6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27150.5</v>
      </c>
      <c r="G203" s="18">
        <v>26509.27</v>
      </c>
      <c r="H203" s="18">
        <v>11.58</v>
      </c>
      <c r="I203" s="18">
        <v>8335.51</v>
      </c>
      <c r="J203" s="18">
        <v>0</v>
      </c>
      <c r="K203" s="18">
        <v>0</v>
      </c>
      <c r="L203" s="19">
        <f t="shared" si="0"/>
        <v>62006.860000000008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f>3680.81+187231.41</f>
        <v>190912.22</v>
      </c>
      <c r="G204" s="18">
        <f>292.76+89533.53</f>
        <v>89826.29</v>
      </c>
      <c r="H204" s="18">
        <f>33373.02+20326.34</f>
        <v>53699.360000000001</v>
      </c>
      <c r="I204" s="18">
        <v>5642.29</v>
      </c>
      <c r="J204" s="18">
        <v>273.95999999999998</v>
      </c>
      <c r="K204" s="18">
        <f>2999.72+2886.92</f>
        <v>5886.6399999999994</v>
      </c>
      <c r="L204" s="19">
        <f t="shared" si="0"/>
        <v>346240.76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201642.92</v>
      </c>
      <c r="G205" s="18">
        <v>91690.74</v>
      </c>
      <c r="H205" s="18">
        <v>14766.02</v>
      </c>
      <c r="I205" s="18">
        <v>2121.13</v>
      </c>
      <c r="J205" s="18">
        <v>425.99</v>
      </c>
      <c r="K205" s="18">
        <v>1117.6500000000001</v>
      </c>
      <c r="L205" s="19">
        <f t="shared" si="0"/>
        <v>311764.45000000007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f>129981+11163.65</f>
        <v>141144.65</v>
      </c>
      <c r="G207" s="18">
        <f>101712.56+6420.5</f>
        <v>108133.06</v>
      </c>
      <c r="H207" s="18">
        <f>67953.38+3728.51</f>
        <v>71681.89</v>
      </c>
      <c r="I207" s="18">
        <f>84197.77+3882.82+1830.41</f>
        <v>89911.000000000015</v>
      </c>
      <c r="J207" s="18">
        <f>14675.6+481</f>
        <v>15156.6</v>
      </c>
      <c r="K207" s="18">
        <v>0</v>
      </c>
      <c r="L207" s="19">
        <f t="shared" si="0"/>
        <v>426027.19999999995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>
        <v>0</v>
      </c>
      <c r="G208" s="18">
        <v>0</v>
      </c>
      <c r="H208" s="18">
        <v>235835.74</v>
      </c>
      <c r="I208" s="18">
        <v>0</v>
      </c>
      <c r="J208" s="18">
        <v>0</v>
      </c>
      <c r="K208" s="18">
        <v>0</v>
      </c>
      <c r="L208" s="19">
        <f t="shared" si="0"/>
        <v>235835.74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>
        <v>40260.589999999997</v>
      </c>
      <c r="G209" s="18">
        <v>21387.58</v>
      </c>
      <c r="H209" s="18">
        <v>393.69</v>
      </c>
      <c r="I209" s="18">
        <v>1646.99</v>
      </c>
      <c r="J209" s="18">
        <v>835</v>
      </c>
      <c r="K209" s="18">
        <v>0</v>
      </c>
      <c r="L209" s="19">
        <f>SUM(F209:K209)</f>
        <v>64523.85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2296985.17</v>
      </c>
      <c r="G211" s="41">
        <f t="shared" si="1"/>
        <v>1250299.4200000002</v>
      </c>
      <c r="H211" s="41">
        <f t="shared" si="1"/>
        <v>550433.08999999985</v>
      </c>
      <c r="I211" s="41">
        <f t="shared" si="1"/>
        <v>228224.28999999998</v>
      </c>
      <c r="J211" s="41">
        <f t="shared" si="1"/>
        <v>38386.14</v>
      </c>
      <c r="K211" s="41">
        <f t="shared" si="1"/>
        <v>7004.2899999999991</v>
      </c>
      <c r="L211" s="41">
        <f t="shared" si="1"/>
        <v>4371332.4000000004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v>1184440.6599999999</v>
      </c>
      <c r="G215" s="18">
        <v>668621.31999999995</v>
      </c>
      <c r="H215" s="18">
        <v>14742.3</v>
      </c>
      <c r="I215" s="18">
        <v>59418.91</v>
      </c>
      <c r="J215" s="18">
        <v>67180.759999999995</v>
      </c>
      <c r="K215" s="18">
        <v>738</v>
      </c>
      <c r="L215" s="19">
        <f>SUM(F215:K215)</f>
        <v>1995141.95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v>210421.08</v>
      </c>
      <c r="G216" s="18">
        <v>131802.01</v>
      </c>
      <c r="H216" s="18">
        <v>47400.83</v>
      </c>
      <c r="I216" s="18">
        <v>99.95</v>
      </c>
      <c r="J216" s="18">
        <v>0</v>
      </c>
      <c r="K216" s="18">
        <v>0</v>
      </c>
      <c r="L216" s="19">
        <f>SUM(F216:K216)</f>
        <v>389723.87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v>20358.599999999999</v>
      </c>
      <c r="G218" s="18">
        <v>2434.1799999999998</v>
      </c>
      <c r="H218" s="18">
        <v>5859</v>
      </c>
      <c r="I218" s="18">
        <v>3582.87</v>
      </c>
      <c r="J218" s="18">
        <v>2059.9</v>
      </c>
      <c r="K218" s="18">
        <v>1412.5</v>
      </c>
      <c r="L218" s="19">
        <f>SUM(F218:K218)</f>
        <v>35707.049999999996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f>168138.42+5936.66</f>
        <v>174075.08000000002</v>
      </c>
      <c r="G220" s="18">
        <f>97882.11+924.51</f>
        <v>98806.62</v>
      </c>
      <c r="H220" s="18">
        <v>18530.400000000001</v>
      </c>
      <c r="I220" s="18">
        <v>1865.18</v>
      </c>
      <c r="J220" s="18">
        <v>0</v>
      </c>
      <c r="K220" s="18">
        <v>103.75</v>
      </c>
      <c r="L220" s="19">
        <f t="shared" ref="L220:L226" si="2">SUM(F220:K220)</f>
        <v>293381.03000000003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v>24150.5</v>
      </c>
      <c r="G221" s="18">
        <v>25141.45</v>
      </c>
      <c r="H221" s="18">
        <v>65.7</v>
      </c>
      <c r="I221" s="18">
        <v>7147.06</v>
      </c>
      <c r="J221" s="18">
        <v>1995</v>
      </c>
      <c r="K221" s="18">
        <v>0</v>
      </c>
      <c r="L221" s="19">
        <f t="shared" si="2"/>
        <v>58499.709999999992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f>3692.92+187231.41</f>
        <v>190924.33000000002</v>
      </c>
      <c r="G222" s="18">
        <f>293.7+89533.53</f>
        <v>89827.23</v>
      </c>
      <c r="H222" s="18">
        <f>33199.91+20326.34</f>
        <v>53526.25</v>
      </c>
      <c r="I222" s="18">
        <v>5642.29</v>
      </c>
      <c r="J222" s="18">
        <v>273.95999999999998</v>
      </c>
      <c r="K222" s="18">
        <f>3077.21+2886.92</f>
        <v>5964.13</v>
      </c>
      <c r="L222" s="19">
        <f t="shared" si="2"/>
        <v>346158.19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v>203366</v>
      </c>
      <c r="G223" s="18">
        <v>125653.59</v>
      </c>
      <c r="H223" s="18">
        <v>5530.67</v>
      </c>
      <c r="I223" s="18">
        <v>1881.17</v>
      </c>
      <c r="J223" s="18">
        <v>0</v>
      </c>
      <c r="K223" s="18">
        <v>1415.07</v>
      </c>
      <c r="L223" s="19">
        <f t="shared" si="2"/>
        <v>337846.49999999994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>
        <f>136500.64+11163.65</f>
        <v>147664.29</v>
      </c>
      <c r="G225" s="18">
        <f>102905.46+6420.5</f>
        <v>109325.96</v>
      </c>
      <c r="H225" s="18">
        <f>151286.99+3728.51</f>
        <v>155015.5</v>
      </c>
      <c r="I225" s="18">
        <f>77872.58+3882.82+1830.41</f>
        <v>83585.810000000012</v>
      </c>
      <c r="J225" s="18">
        <f>27588.02+480.99+0.02</f>
        <v>28069.030000000002</v>
      </c>
      <c r="K225" s="18">
        <v>0</v>
      </c>
      <c r="L225" s="19">
        <f t="shared" si="2"/>
        <v>523660.59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>
        <v>0</v>
      </c>
      <c r="G226" s="18">
        <v>0</v>
      </c>
      <c r="H226" s="18">
        <v>181258.46</v>
      </c>
      <c r="I226" s="18">
        <v>0</v>
      </c>
      <c r="J226" s="18">
        <v>0</v>
      </c>
      <c r="K226" s="18">
        <v>0</v>
      </c>
      <c r="L226" s="19">
        <f t="shared" si="2"/>
        <v>181258.46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>
        <v>46400.17</v>
      </c>
      <c r="G227" s="18">
        <v>24731.14</v>
      </c>
      <c r="H227" s="18">
        <v>13444.27</v>
      </c>
      <c r="I227" s="18">
        <v>1646.99</v>
      </c>
      <c r="J227" s="18">
        <v>2653.19</v>
      </c>
      <c r="K227" s="18">
        <v>0</v>
      </c>
      <c r="L227" s="19">
        <f>SUM(F227:K227)</f>
        <v>88875.760000000009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2201800.71</v>
      </c>
      <c r="G229" s="41">
        <f>SUM(G215:G228)</f>
        <v>1276343.4999999998</v>
      </c>
      <c r="H229" s="41">
        <f>SUM(H215:H228)</f>
        <v>495373.38</v>
      </c>
      <c r="I229" s="41">
        <f>SUM(I215:I228)</f>
        <v>164870.22999999998</v>
      </c>
      <c r="J229" s="41">
        <f>SUM(J215:J228)</f>
        <v>102231.84</v>
      </c>
      <c r="K229" s="41">
        <f t="shared" si="3"/>
        <v>9633.4500000000007</v>
      </c>
      <c r="L229" s="41">
        <f t="shared" si="3"/>
        <v>4250253.1099999994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v>1543355.4</v>
      </c>
      <c r="G233" s="18">
        <v>817914.27</v>
      </c>
      <c r="H233" s="18">
        <v>12320.84</v>
      </c>
      <c r="I233" s="18">
        <v>72832.47</v>
      </c>
      <c r="J233" s="18">
        <v>19913.93</v>
      </c>
      <c r="K233" s="18">
        <v>275</v>
      </c>
      <c r="L233" s="19">
        <f>SUM(F233:K233)</f>
        <v>2466611.91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v>252922.95</v>
      </c>
      <c r="G234" s="18">
        <v>127032.99</v>
      </c>
      <c r="H234" s="18">
        <v>66245.649999999994</v>
      </c>
      <c r="I234" s="18">
        <v>686.89</v>
      </c>
      <c r="J234" s="18">
        <v>596</v>
      </c>
      <c r="K234" s="18">
        <v>1027.98</v>
      </c>
      <c r="L234" s="19">
        <f>SUM(F234:K234)</f>
        <v>448512.45999999996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>
        <v>63153</v>
      </c>
      <c r="G235" s="18">
        <v>37003.919999999998</v>
      </c>
      <c r="H235" s="18">
        <v>9654.77</v>
      </c>
      <c r="I235" s="18">
        <v>4160.8999999999996</v>
      </c>
      <c r="J235" s="18">
        <v>0</v>
      </c>
      <c r="K235" s="18">
        <v>0</v>
      </c>
      <c r="L235" s="19">
        <f>SUM(F235:K235)</f>
        <v>113972.59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v>74224</v>
      </c>
      <c r="G236" s="18">
        <v>8865.74</v>
      </c>
      <c r="H236" s="18">
        <v>25210.12</v>
      </c>
      <c r="I236" s="18">
        <v>6747.75</v>
      </c>
      <c r="J236" s="18">
        <v>5945.62</v>
      </c>
      <c r="K236" s="18">
        <v>6665</v>
      </c>
      <c r="L236" s="19">
        <f>SUM(F236:K236)</f>
        <v>127658.23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f>276441.03+5936.68</f>
        <v>282377.71000000002</v>
      </c>
      <c r="G238" s="18">
        <f>96556.04+924.52</f>
        <v>97480.56</v>
      </c>
      <c r="H238" s="18">
        <v>38761.279999999999</v>
      </c>
      <c r="I238" s="18">
        <v>8147.16</v>
      </c>
      <c r="J238" s="18">
        <v>0</v>
      </c>
      <c r="K238" s="18">
        <v>185</v>
      </c>
      <c r="L238" s="19">
        <f t="shared" ref="L238:L244" si="4">SUM(F238:K238)</f>
        <v>426951.71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v>58260</v>
      </c>
      <c r="G239" s="18">
        <v>36902.5</v>
      </c>
      <c r="H239" s="18">
        <v>156.38</v>
      </c>
      <c r="I239" s="18">
        <v>10450.39</v>
      </c>
      <c r="J239" s="18">
        <v>447.94</v>
      </c>
      <c r="K239" s="18">
        <v>0</v>
      </c>
      <c r="L239" s="19">
        <f t="shared" si="4"/>
        <v>106217.21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f>3754.76+187231.41</f>
        <v>190986.17</v>
      </c>
      <c r="G240" s="18">
        <f>298.4+89533.54</f>
        <v>89831.939999999988</v>
      </c>
      <c r="H240" s="18">
        <f>33561.11+20326.33</f>
        <v>53887.44</v>
      </c>
      <c r="I240" s="18">
        <v>5642.28</v>
      </c>
      <c r="J240" s="18">
        <f>273.97</f>
        <v>273.97000000000003</v>
      </c>
      <c r="K240" s="18">
        <f>3154.77+2886.91</f>
        <v>6041.68</v>
      </c>
      <c r="L240" s="19">
        <f t="shared" si="4"/>
        <v>346663.48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v>260856.26</v>
      </c>
      <c r="G241" s="18">
        <v>133503.03</v>
      </c>
      <c r="H241" s="18">
        <v>21947.32</v>
      </c>
      <c r="I241" s="18">
        <v>5861.68</v>
      </c>
      <c r="J241" s="18">
        <v>665.28</v>
      </c>
      <c r="K241" s="18">
        <v>6918.18</v>
      </c>
      <c r="L241" s="19">
        <f t="shared" si="4"/>
        <v>429751.75000000006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f>136066.26+11163.65</f>
        <v>147229.91</v>
      </c>
      <c r="G243" s="18">
        <f>91488.89+6420.51</f>
        <v>97909.4</v>
      </c>
      <c r="H243" s="18">
        <f>110627.26+3728.51</f>
        <v>114355.76999999999</v>
      </c>
      <c r="I243" s="18">
        <f>124802.48+3882.82+1830.42</f>
        <v>130515.72</v>
      </c>
      <c r="J243" s="18">
        <f>16249.58+481-0.03+0.02</f>
        <v>16730.570000000003</v>
      </c>
      <c r="K243" s="18">
        <v>0</v>
      </c>
      <c r="L243" s="19">
        <f t="shared" si="4"/>
        <v>506741.36999999994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>
        <v>0</v>
      </c>
      <c r="G244" s="18">
        <v>0</v>
      </c>
      <c r="H244" s="18">
        <v>328117</v>
      </c>
      <c r="I244" s="18">
        <v>0</v>
      </c>
      <c r="J244" s="18">
        <v>0</v>
      </c>
      <c r="K244" s="18">
        <v>0</v>
      </c>
      <c r="L244" s="19">
        <f t="shared" si="4"/>
        <v>328117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>
        <v>77905.919999999998</v>
      </c>
      <c r="G245" s="18">
        <v>41998.15</v>
      </c>
      <c r="H245" s="18">
        <v>15194.28</v>
      </c>
      <c r="I245" s="18">
        <v>1646.98</v>
      </c>
      <c r="J245" s="18">
        <v>790</v>
      </c>
      <c r="K245" s="18">
        <v>0</v>
      </c>
      <c r="L245" s="19">
        <f>SUM(F245:K245)</f>
        <v>137535.33000000002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2951271.3200000003</v>
      </c>
      <c r="G247" s="41">
        <f t="shared" si="5"/>
        <v>1488442.4999999998</v>
      </c>
      <c r="H247" s="41">
        <f t="shared" si="5"/>
        <v>685850.85</v>
      </c>
      <c r="I247" s="41">
        <f t="shared" si="5"/>
        <v>246692.22</v>
      </c>
      <c r="J247" s="41">
        <f t="shared" si="5"/>
        <v>45363.31</v>
      </c>
      <c r="K247" s="41">
        <f t="shared" si="5"/>
        <v>21112.84</v>
      </c>
      <c r="L247" s="41">
        <f t="shared" si="5"/>
        <v>5438733.04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7450057.2000000002</v>
      </c>
      <c r="G257" s="41">
        <f t="shared" si="8"/>
        <v>4015085.42</v>
      </c>
      <c r="H257" s="41">
        <f t="shared" si="8"/>
        <v>1731657.3199999998</v>
      </c>
      <c r="I257" s="41">
        <f t="shared" si="8"/>
        <v>639786.74</v>
      </c>
      <c r="J257" s="41">
        <f t="shared" si="8"/>
        <v>185981.28999999998</v>
      </c>
      <c r="K257" s="41">
        <f t="shared" si="8"/>
        <v>37750.58</v>
      </c>
      <c r="L257" s="41">
        <f t="shared" si="8"/>
        <v>14060318.550000001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1475000</v>
      </c>
      <c r="L260" s="19">
        <f>SUM(F260:K260)</f>
        <v>1475000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834776.25</v>
      </c>
      <c r="L261" s="19">
        <f>SUM(F261:K261)</f>
        <v>834776.25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>
        <v>0</v>
      </c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85000</v>
      </c>
      <c r="L266" s="19">
        <f t="shared" si="9"/>
        <v>85000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2394776.25</v>
      </c>
      <c r="L270" s="41">
        <f t="shared" si="9"/>
        <v>2394776.25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7450057.2000000002</v>
      </c>
      <c r="G271" s="42">
        <f t="shared" si="11"/>
        <v>4015085.42</v>
      </c>
      <c r="H271" s="42">
        <f t="shared" si="11"/>
        <v>1731657.3199999998</v>
      </c>
      <c r="I271" s="42">
        <f t="shared" si="11"/>
        <v>639786.74</v>
      </c>
      <c r="J271" s="42">
        <f t="shared" si="11"/>
        <v>185981.28999999998</v>
      </c>
      <c r="K271" s="42">
        <f t="shared" si="11"/>
        <v>2432526.83</v>
      </c>
      <c r="L271" s="42">
        <f t="shared" si="11"/>
        <v>16455094.800000001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84630</v>
      </c>
      <c r="G276" s="18">
        <v>27922.16</v>
      </c>
      <c r="H276" s="18">
        <v>0</v>
      </c>
      <c r="I276" s="18">
        <v>4273.03</v>
      </c>
      <c r="J276" s="18">
        <v>0</v>
      </c>
      <c r="K276" s="18">
        <v>0</v>
      </c>
      <c r="L276" s="19">
        <f>SUM(F276:K276)</f>
        <v>116825.19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93455.07</v>
      </c>
      <c r="G277" s="18">
        <v>56017.61</v>
      </c>
      <c r="H277" s="18">
        <v>2011.35</v>
      </c>
      <c r="I277" s="18">
        <v>670.74</v>
      </c>
      <c r="J277" s="18">
        <v>5398.83</v>
      </c>
      <c r="K277" s="18">
        <v>0</v>
      </c>
      <c r="L277" s="19">
        <f>SUM(F277:K277)</f>
        <v>157553.59999999998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24448.89</v>
      </c>
      <c r="G282" s="18">
        <v>5100.3500000000004</v>
      </c>
      <c r="H282" s="18">
        <v>16547.63</v>
      </c>
      <c r="I282" s="18">
        <v>0</v>
      </c>
      <c r="J282" s="18">
        <v>0</v>
      </c>
      <c r="K282" s="18">
        <v>0</v>
      </c>
      <c r="L282" s="19">
        <f t="shared" si="12"/>
        <v>46096.869999999995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>
        <v>0</v>
      </c>
      <c r="G287" s="18">
        <v>0</v>
      </c>
      <c r="H287" s="18">
        <v>740.63</v>
      </c>
      <c r="I287" s="18">
        <v>0</v>
      </c>
      <c r="J287" s="18">
        <v>0</v>
      </c>
      <c r="K287" s="18">
        <v>0</v>
      </c>
      <c r="L287" s="19">
        <f t="shared" si="12"/>
        <v>740.63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202533.96000000002</v>
      </c>
      <c r="G290" s="42">
        <f t="shared" si="13"/>
        <v>89040.12000000001</v>
      </c>
      <c r="H290" s="42">
        <f t="shared" si="13"/>
        <v>19299.61</v>
      </c>
      <c r="I290" s="42">
        <f t="shared" si="13"/>
        <v>4943.7699999999995</v>
      </c>
      <c r="J290" s="42">
        <f t="shared" si="13"/>
        <v>5398.83</v>
      </c>
      <c r="K290" s="42">
        <f t="shared" si="13"/>
        <v>0</v>
      </c>
      <c r="L290" s="41">
        <f t="shared" si="13"/>
        <v>321216.28999999998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>
        <v>89072.23</v>
      </c>
      <c r="G295" s="18">
        <v>40444.76</v>
      </c>
      <c r="H295" s="18">
        <v>0</v>
      </c>
      <c r="I295" s="18">
        <v>2792.59</v>
      </c>
      <c r="J295" s="18">
        <v>0</v>
      </c>
      <c r="K295" s="18">
        <v>0</v>
      </c>
      <c r="L295" s="19">
        <f>SUM(F295:K295)</f>
        <v>132309.57999999999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>
        <v>31709.94</v>
      </c>
      <c r="G296" s="18">
        <v>22145.8</v>
      </c>
      <c r="H296" s="18">
        <v>270.45</v>
      </c>
      <c r="I296" s="18">
        <v>223.58</v>
      </c>
      <c r="J296" s="18">
        <v>1799.61</v>
      </c>
      <c r="K296" s="18">
        <v>0</v>
      </c>
      <c r="L296" s="19">
        <f>SUM(F296:K296)</f>
        <v>56149.38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>
        <v>0</v>
      </c>
      <c r="G298" s="18">
        <v>0</v>
      </c>
      <c r="H298" s="18">
        <v>0</v>
      </c>
      <c r="I298" s="18">
        <v>0</v>
      </c>
      <c r="J298" s="18">
        <v>0</v>
      </c>
      <c r="K298" s="18">
        <v>0</v>
      </c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>
        <v>0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>
        <v>24448.89</v>
      </c>
      <c r="G301" s="18">
        <v>5100.3500000000004</v>
      </c>
      <c r="H301" s="18">
        <v>5871.29</v>
      </c>
      <c r="I301" s="18">
        <v>0</v>
      </c>
      <c r="J301" s="18">
        <v>0</v>
      </c>
      <c r="K301" s="18">
        <v>0</v>
      </c>
      <c r="L301" s="19">
        <f t="shared" si="14"/>
        <v>35420.53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>
        <v>0</v>
      </c>
      <c r="G306" s="18">
        <v>0</v>
      </c>
      <c r="H306" s="18">
        <v>256.87</v>
      </c>
      <c r="I306" s="18">
        <v>0</v>
      </c>
      <c r="J306" s="18">
        <v>0</v>
      </c>
      <c r="K306" s="18">
        <v>0</v>
      </c>
      <c r="L306" s="19">
        <f t="shared" si="14"/>
        <v>256.87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>
        <v>0</v>
      </c>
      <c r="G307" s="18">
        <v>0</v>
      </c>
      <c r="H307" s="18">
        <v>0</v>
      </c>
      <c r="I307" s="18">
        <v>0</v>
      </c>
      <c r="J307" s="18">
        <v>0</v>
      </c>
      <c r="K307" s="18">
        <v>0</v>
      </c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145231.06</v>
      </c>
      <c r="G309" s="42">
        <f t="shared" si="15"/>
        <v>67690.91</v>
      </c>
      <c r="H309" s="42">
        <f t="shared" si="15"/>
        <v>6398.61</v>
      </c>
      <c r="I309" s="42">
        <f t="shared" si="15"/>
        <v>3016.17</v>
      </c>
      <c r="J309" s="42">
        <f t="shared" si="15"/>
        <v>1799.61</v>
      </c>
      <c r="K309" s="42">
        <f t="shared" si="15"/>
        <v>0</v>
      </c>
      <c r="L309" s="41">
        <f t="shared" si="15"/>
        <v>224136.36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>
        <v>0</v>
      </c>
      <c r="G320" s="18">
        <v>0</v>
      </c>
      <c r="H320" s="18">
        <v>0</v>
      </c>
      <c r="I320" s="18">
        <v>0</v>
      </c>
      <c r="J320" s="18">
        <v>0</v>
      </c>
      <c r="K320" s="18">
        <v>0</v>
      </c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347765.02</v>
      </c>
      <c r="G338" s="41">
        <f t="shared" si="20"/>
        <v>156731.03000000003</v>
      </c>
      <c r="H338" s="41">
        <f t="shared" si="20"/>
        <v>25698.22</v>
      </c>
      <c r="I338" s="41">
        <f t="shared" si="20"/>
        <v>7959.94</v>
      </c>
      <c r="J338" s="41">
        <f t="shared" si="20"/>
        <v>7198.44</v>
      </c>
      <c r="K338" s="41">
        <f t="shared" si="20"/>
        <v>0</v>
      </c>
      <c r="L338" s="41">
        <f t="shared" si="20"/>
        <v>545352.64999999991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>
        <f>32752.12-0.02</f>
        <v>32752.1</v>
      </c>
      <c r="L344" s="19">
        <f t="shared" ref="L344:L350" si="21">SUM(F344:K344)</f>
        <v>32752.1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32752.1</v>
      </c>
      <c r="L351" s="41">
        <f>SUM(L341:L350)</f>
        <v>32752.1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347765.02</v>
      </c>
      <c r="G352" s="41">
        <f>G338</f>
        <v>156731.03000000003</v>
      </c>
      <c r="H352" s="41">
        <f>H338</f>
        <v>25698.22</v>
      </c>
      <c r="I352" s="41">
        <f>I338</f>
        <v>7959.94</v>
      </c>
      <c r="J352" s="41">
        <f>J338</f>
        <v>7198.44</v>
      </c>
      <c r="K352" s="47">
        <f>K338+K351</f>
        <v>32752.1</v>
      </c>
      <c r="L352" s="41">
        <f>L338+L351</f>
        <v>578104.74999999988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/>
      <c r="G358" s="18"/>
      <c r="H358" s="18">
        <f>(368935+30384.22)/3</f>
        <v>133106.40666666665</v>
      </c>
      <c r="I358" s="18">
        <v>2342</v>
      </c>
      <c r="J358" s="18"/>
      <c r="K358" s="18"/>
      <c r="L358" s="13">
        <f>SUM(F358:K358)</f>
        <v>135448.40666666665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>
        <f t="shared" ref="H359:H360" si="22">(368935+30384.22)/3</f>
        <v>133106.40666666665</v>
      </c>
      <c r="I359" s="18">
        <v>2462.14</v>
      </c>
      <c r="J359" s="18"/>
      <c r="K359" s="18"/>
      <c r="L359" s="19">
        <f>SUM(F359:K359)</f>
        <v>135568.54666666666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>
        <f t="shared" si="22"/>
        <v>133106.40666666665</v>
      </c>
      <c r="I360" s="18">
        <v>2423</v>
      </c>
      <c r="J360" s="18"/>
      <c r="K360" s="18"/>
      <c r="L360" s="19">
        <f>SUM(F360:K360)</f>
        <v>135529.40666666665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3">SUM(F358:F361)</f>
        <v>0</v>
      </c>
      <c r="G362" s="47">
        <f t="shared" si="23"/>
        <v>0</v>
      </c>
      <c r="H362" s="47">
        <f t="shared" si="23"/>
        <v>399319.22</v>
      </c>
      <c r="I362" s="47">
        <f t="shared" si="23"/>
        <v>7227.1399999999994</v>
      </c>
      <c r="J362" s="47">
        <f t="shared" si="23"/>
        <v>0</v>
      </c>
      <c r="K362" s="47">
        <f t="shared" si="23"/>
        <v>0</v>
      </c>
      <c r="L362" s="47">
        <f t="shared" si="23"/>
        <v>406546.36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/>
      <c r="G367" s="18"/>
      <c r="H367" s="18"/>
      <c r="I367" s="56">
        <f>SUM(F367:H367)</f>
        <v>0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2342</v>
      </c>
      <c r="G368" s="63">
        <v>2462.14</v>
      </c>
      <c r="H368" s="63">
        <v>2423</v>
      </c>
      <c r="I368" s="56">
        <f>SUM(F368:H368)</f>
        <v>7227.1399999999994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2342</v>
      </c>
      <c r="G369" s="47">
        <f>SUM(G367:G368)</f>
        <v>2462.14</v>
      </c>
      <c r="H369" s="47">
        <f>SUM(H367:H368)</f>
        <v>2423</v>
      </c>
      <c r="I369" s="47">
        <f>SUM(I367:I368)</f>
        <v>7227.1399999999994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4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4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4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4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4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4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4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5">SUM(G374:G381)</f>
        <v>0</v>
      </c>
      <c r="H382" s="139">
        <f t="shared" si="25"/>
        <v>0</v>
      </c>
      <c r="I382" s="41">
        <f t="shared" si="25"/>
        <v>0</v>
      </c>
      <c r="J382" s="47">
        <f t="shared" si="25"/>
        <v>0</v>
      </c>
      <c r="K382" s="47">
        <f t="shared" si="25"/>
        <v>0</v>
      </c>
      <c r="L382" s="47">
        <f t="shared" si="25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6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6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6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6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6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6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7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7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>
        <v>35000</v>
      </c>
      <c r="H397" s="18">
        <v>5854.22</v>
      </c>
      <c r="I397" s="18"/>
      <c r="J397" s="24" t="s">
        <v>288</v>
      </c>
      <c r="K397" s="24" t="s">
        <v>288</v>
      </c>
      <c r="L397" s="56">
        <f t="shared" si="27"/>
        <v>40854.22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>
        <v>50000</v>
      </c>
      <c r="H398" s="18">
        <v>6264.59</v>
      </c>
      <c r="I398" s="18"/>
      <c r="J398" s="24" t="s">
        <v>288</v>
      </c>
      <c r="K398" s="24" t="s">
        <v>288</v>
      </c>
      <c r="L398" s="56">
        <f t="shared" si="27"/>
        <v>56264.59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7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>
        <v>0</v>
      </c>
      <c r="H400" s="18">
        <v>97.24</v>
      </c>
      <c r="I400" s="18"/>
      <c r="J400" s="24" t="s">
        <v>288</v>
      </c>
      <c r="K400" s="24" t="s">
        <v>288</v>
      </c>
      <c r="L400" s="56">
        <f t="shared" si="27"/>
        <v>97.24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85000</v>
      </c>
      <c r="H401" s="47">
        <f>SUM(H395:H400)</f>
        <v>12216.050000000001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97216.05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85000</v>
      </c>
      <c r="H408" s="47">
        <f>H393+H401+H407</f>
        <v>12216.050000000001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97216.05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8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8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8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8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8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8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9">SUM(F413:F418)</f>
        <v>0</v>
      </c>
      <c r="G419" s="139">
        <f t="shared" si="29"/>
        <v>0</v>
      </c>
      <c r="H419" s="139">
        <f t="shared" si="29"/>
        <v>0</v>
      </c>
      <c r="I419" s="139">
        <f t="shared" si="29"/>
        <v>0</v>
      </c>
      <c r="J419" s="139">
        <f t="shared" si="29"/>
        <v>0</v>
      </c>
      <c r="K419" s="139">
        <f t="shared" si="29"/>
        <v>0</v>
      </c>
      <c r="L419" s="47">
        <f t="shared" si="29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30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30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30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30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30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30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1">SUM(F421:F426)</f>
        <v>0</v>
      </c>
      <c r="G427" s="47">
        <f t="shared" si="31"/>
        <v>0</v>
      </c>
      <c r="H427" s="47">
        <f t="shared" si="31"/>
        <v>0</v>
      </c>
      <c r="I427" s="47">
        <f t="shared" si="31"/>
        <v>0</v>
      </c>
      <c r="J427" s="47">
        <f t="shared" si="31"/>
        <v>0</v>
      </c>
      <c r="K427" s="47">
        <f t="shared" si="31"/>
        <v>0</v>
      </c>
      <c r="L427" s="47">
        <f t="shared" si="31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2">SUM(F429:F432)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3">F419+F427+F433</f>
        <v>0</v>
      </c>
      <c r="G434" s="47">
        <f t="shared" si="33"/>
        <v>0</v>
      </c>
      <c r="H434" s="47">
        <f t="shared" si="33"/>
        <v>0</v>
      </c>
      <c r="I434" s="47">
        <f t="shared" si="33"/>
        <v>0</v>
      </c>
      <c r="J434" s="47">
        <f t="shared" si="33"/>
        <v>0</v>
      </c>
      <c r="K434" s="47">
        <f t="shared" si="33"/>
        <v>0</v>
      </c>
      <c r="L434" s="47">
        <f t="shared" si="33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4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>
        <v>517691.73</v>
      </c>
      <c r="G440" s="18"/>
      <c r="H440" s="18"/>
      <c r="I440" s="56">
        <f t="shared" si="34"/>
        <v>517691.73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4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4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4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4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4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517691.73</v>
      </c>
      <c r="G446" s="13">
        <f>SUM(G439:G445)</f>
        <v>0</v>
      </c>
      <c r="H446" s="13">
        <f>SUM(H439:H445)</f>
        <v>0</v>
      </c>
      <c r="I446" s="13">
        <f>SUM(I439:I445)</f>
        <v>517691.73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5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5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5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5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5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517691.73</v>
      </c>
      <c r="G459" s="18"/>
      <c r="H459" s="18"/>
      <c r="I459" s="56">
        <f t="shared" si="35"/>
        <v>517691.73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517691.73</v>
      </c>
      <c r="G460" s="83">
        <f>SUM(G454:G459)</f>
        <v>0</v>
      </c>
      <c r="H460" s="83">
        <f>SUM(H454:H459)</f>
        <v>0</v>
      </c>
      <c r="I460" s="83">
        <f>SUM(I454:I459)</f>
        <v>517691.73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517691.73</v>
      </c>
      <c r="G461" s="42">
        <f>G452+G460</f>
        <v>0</v>
      </c>
      <c r="H461" s="42">
        <f>H452+H460</f>
        <v>0</v>
      </c>
      <c r="I461" s="42">
        <f>I452+I460</f>
        <v>517691.73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1709240.22</v>
      </c>
      <c r="G465" s="18">
        <f>6914.09+5921.02</f>
        <v>12835.11</v>
      </c>
      <c r="H465" s="18">
        <f>1766.62</f>
        <v>1766.62</v>
      </c>
      <c r="I465" s="18">
        <v>6990</v>
      </c>
      <c r="J465" s="18">
        <v>420475.68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f>F193</f>
        <v>16155489.219999999</v>
      </c>
      <c r="G468" s="18">
        <f>G193</f>
        <v>400797.08999999997</v>
      </c>
      <c r="H468" s="18">
        <f>H193</f>
        <v>578832.88</v>
      </c>
      <c r="I468" s="18">
        <f>I193</f>
        <v>0</v>
      </c>
      <c r="J468" s="18">
        <f>J193</f>
        <v>97216.05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>
        <v>0</v>
      </c>
      <c r="G469" s="18"/>
      <c r="H469" s="18"/>
      <c r="I469" s="18"/>
      <c r="J469" s="18">
        <v>0</v>
      </c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16155489.219999999</v>
      </c>
      <c r="G470" s="53">
        <f>SUM(G468:G469)</f>
        <v>400797.08999999997</v>
      </c>
      <c r="H470" s="53">
        <f>SUM(H468:H469)</f>
        <v>578832.88</v>
      </c>
      <c r="I470" s="53">
        <f>SUM(I468:I469)</f>
        <v>0</v>
      </c>
      <c r="J470" s="53">
        <f>SUM(J468:J469)</f>
        <v>97216.05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f>L271</f>
        <v>16455094.800000001</v>
      </c>
      <c r="G472" s="18">
        <f>L362</f>
        <v>406546.36</v>
      </c>
      <c r="H472" s="18">
        <f>L352</f>
        <v>578104.74999999988</v>
      </c>
      <c r="I472" s="18">
        <v>0</v>
      </c>
      <c r="J472" s="18">
        <v>0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>
        <v>0</v>
      </c>
      <c r="H473" s="18"/>
      <c r="I473" s="18">
        <v>6990</v>
      </c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16455094.800000001</v>
      </c>
      <c r="G474" s="53">
        <f>SUM(G472:G473)</f>
        <v>406546.36</v>
      </c>
      <c r="H474" s="53">
        <f>SUM(H472:H473)</f>
        <v>578104.74999999988</v>
      </c>
      <c r="I474" s="53">
        <f>SUM(I472:I473)</f>
        <v>6990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1409634.6399999969</v>
      </c>
      <c r="G476" s="53">
        <f>(G465+G470)- G474</f>
        <v>7085.8399999999674</v>
      </c>
      <c r="H476" s="53">
        <f>(H465+H470)- H474</f>
        <v>2494.7500000001164</v>
      </c>
      <c r="I476" s="53">
        <f>(I465+I470)- I474</f>
        <v>0</v>
      </c>
      <c r="J476" s="53">
        <f>(J465+J470)- J474</f>
        <v>517691.73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16</v>
      </c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912</v>
      </c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913</v>
      </c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23623315</v>
      </c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5.39</v>
      </c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17700000</v>
      </c>
      <c r="G495" s="18"/>
      <c r="H495" s="18"/>
      <c r="I495" s="18"/>
      <c r="J495" s="18"/>
      <c r="K495" s="53">
        <f>SUM(F495:J495)</f>
        <v>17700000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>
        <v>0</v>
      </c>
      <c r="G496" s="18"/>
      <c r="H496" s="18"/>
      <c r="I496" s="18"/>
      <c r="J496" s="18"/>
      <c r="K496" s="53">
        <f t="shared" ref="K496:K503" si="36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1475000</v>
      </c>
      <c r="G497" s="18"/>
      <c r="H497" s="18"/>
      <c r="I497" s="18"/>
      <c r="J497" s="18"/>
      <c r="K497" s="53">
        <f t="shared" si="36"/>
        <v>1475000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14750000</v>
      </c>
      <c r="G498" s="204"/>
      <c r="H498" s="204"/>
      <c r="I498" s="204"/>
      <c r="J498" s="204"/>
      <c r="K498" s="205">
        <f t="shared" si="36"/>
        <v>14750000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3975125</v>
      </c>
      <c r="G499" s="18"/>
      <c r="H499" s="18"/>
      <c r="I499" s="18"/>
      <c r="J499" s="18"/>
      <c r="K499" s="53">
        <f t="shared" si="36"/>
        <v>3975125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18725125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6"/>
        <v>18725125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1475000</v>
      </c>
      <c r="G501" s="204"/>
      <c r="H501" s="204"/>
      <c r="I501" s="204"/>
      <c r="J501" s="204"/>
      <c r="K501" s="205">
        <f t="shared" si="36"/>
        <v>1475000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755273.75</v>
      </c>
      <c r="G502" s="18"/>
      <c r="H502" s="18"/>
      <c r="I502" s="18"/>
      <c r="J502" s="18"/>
      <c r="K502" s="53">
        <f t="shared" si="36"/>
        <v>755273.75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2230273.75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6"/>
        <v>2230273.75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332868.31</v>
      </c>
      <c r="G521" s="18">
        <v>214358.78</v>
      </c>
      <c r="H521" s="18">
        <v>99713.39</v>
      </c>
      <c r="I521" s="18">
        <v>1404.01</v>
      </c>
      <c r="J521" s="18">
        <v>6783.71</v>
      </c>
      <c r="K521" s="18">
        <v>0</v>
      </c>
      <c r="L521" s="88">
        <f>SUM(F521:K521)</f>
        <v>655128.19999999995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v>242131.02</v>
      </c>
      <c r="G522" s="18">
        <v>131582.48000000001</v>
      </c>
      <c r="H522" s="18">
        <v>47971.28</v>
      </c>
      <c r="I522" s="18">
        <v>323.52999999999997</v>
      </c>
      <c r="J522" s="18">
        <v>1799.6</v>
      </c>
      <c r="K522" s="18">
        <v>0</v>
      </c>
      <c r="L522" s="88">
        <f>SUM(F522:K522)</f>
        <v>423807.91000000003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v>252922.95</v>
      </c>
      <c r="G523" s="18">
        <v>127032.99</v>
      </c>
      <c r="H523" s="18">
        <v>66245.649999999994</v>
      </c>
      <c r="I523" s="18">
        <v>686.89</v>
      </c>
      <c r="J523" s="18">
        <v>596</v>
      </c>
      <c r="K523" s="18">
        <v>1027.98</v>
      </c>
      <c r="L523" s="88">
        <f>SUM(F523:K523)</f>
        <v>448512.45999999996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827922.28</v>
      </c>
      <c r="G524" s="108">
        <f t="shared" ref="G524:L524" si="37">SUM(G521:G523)</f>
        <v>472974.25</v>
      </c>
      <c r="H524" s="108">
        <f t="shared" si="37"/>
        <v>213930.31999999998</v>
      </c>
      <c r="I524" s="108">
        <f t="shared" si="37"/>
        <v>2414.4299999999998</v>
      </c>
      <c r="J524" s="108">
        <f t="shared" si="37"/>
        <v>9179.31</v>
      </c>
      <c r="K524" s="108">
        <f t="shared" si="37"/>
        <v>1027.98</v>
      </c>
      <c r="L524" s="89">
        <f t="shared" si="37"/>
        <v>1527448.5699999998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108834.99</v>
      </c>
      <c r="G526" s="18">
        <v>56260.39</v>
      </c>
      <c r="H526" s="18">
        <v>50019.89</v>
      </c>
      <c r="I526" s="18">
        <v>610.9</v>
      </c>
      <c r="J526" s="18">
        <v>0</v>
      </c>
      <c r="K526" s="18">
        <v>0</v>
      </c>
      <c r="L526" s="88">
        <f>SUM(F526:K526)</f>
        <v>215726.17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>
        <v>63002.98</v>
      </c>
      <c r="G527" s="18">
        <v>21159.040000000001</v>
      </c>
      <c r="H527" s="18">
        <v>16534.900000000001</v>
      </c>
      <c r="I527" s="18">
        <v>0</v>
      </c>
      <c r="J527" s="18">
        <v>0</v>
      </c>
      <c r="K527" s="18">
        <v>0</v>
      </c>
      <c r="L527" s="88">
        <f>SUM(F527:K527)</f>
        <v>100696.92000000001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>
        <v>102095.82</v>
      </c>
      <c r="G528" s="18">
        <v>24098.03</v>
      </c>
      <c r="H528" s="18">
        <v>33389.440000000002</v>
      </c>
      <c r="I528" s="18">
        <v>0</v>
      </c>
      <c r="J528" s="18">
        <v>0</v>
      </c>
      <c r="K528" s="18">
        <v>0</v>
      </c>
      <c r="L528" s="88">
        <f>SUM(F528:K528)</f>
        <v>159583.29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273933.79000000004</v>
      </c>
      <c r="G529" s="89">
        <f t="shared" ref="G529:L529" si="38">SUM(G526:G528)</f>
        <v>101517.45999999999</v>
      </c>
      <c r="H529" s="89">
        <f t="shared" si="38"/>
        <v>99944.23000000001</v>
      </c>
      <c r="I529" s="89">
        <f t="shared" si="38"/>
        <v>610.9</v>
      </c>
      <c r="J529" s="89">
        <f t="shared" si="38"/>
        <v>0</v>
      </c>
      <c r="K529" s="89">
        <f t="shared" si="38"/>
        <v>0</v>
      </c>
      <c r="L529" s="89">
        <f t="shared" si="38"/>
        <v>476006.38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f>209289.21/3</f>
        <v>69763.069999999992</v>
      </c>
      <c r="G531" s="18">
        <f>81030.03/3</f>
        <v>27010.01</v>
      </c>
      <c r="H531" s="18">
        <f>15797.38/3</f>
        <v>5265.7933333333331</v>
      </c>
      <c r="I531" s="18">
        <f>1611.08/3</f>
        <v>537.02666666666664</v>
      </c>
      <c r="J531" s="18">
        <f>691.94/3</f>
        <v>230.64666666666668</v>
      </c>
      <c r="K531" s="18">
        <f>778.1/3</f>
        <v>259.36666666666667</v>
      </c>
      <c r="L531" s="88">
        <f>SUM(F531:K531)</f>
        <v>103065.91333333333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>
        <f t="shared" ref="F532:F533" si="39">209289.21/3</f>
        <v>69763.069999999992</v>
      </c>
      <c r="G532" s="18">
        <f t="shared" ref="G532:G533" si="40">81030.03/3</f>
        <v>27010.01</v>
      </c>
      <c r="H532" s="18">
        <f t="shared" ref="H532:H533" si="41">15797.38/3</f>
        <v>5265.7933333333331</v>
      </c>
      <c r="I532" s="18">
        <f t="shared" ref="I532:I533" si="42">1611.08/3</f>
        <v>537.02666666666664</v>
      </c>
      <c r="J532" s="18">
        <f t="shared" ref="J532:J533" si="43">691.94/3</f>
        <v>230.64666666666668</v>
      </c>
      <c r="K532" s="18">
        <f t="shared" ref="K532:K533" si="44">778.1/3</f>
        <v>259.36666666666667</v>
      </c>
      <c r="L532" s="88">
        <f>SUM(F532:K532)</f>
        <v>103065.91333333333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f t="shared" si="39"/>
        <v>69763.069999999992</v>
      </c>
      <c r="G533" s="18">
        <f t="shared" si="40"/>
        <v>27010.01</v>
      </c>
      <c r="H533" s="18">
        <f t="shared" si="41"/>
        <v>5265.7933333333331</v>
      </c>
      <c r="I533" s="18">
        <f t="shared" si="42"/>
        <v>537.02666666666664</v>
      </c>
      <c r="J533" s="18">
        <f t="shared" si="43"/>
        <v>230.64666666666668</v>
      </c>
      <c r="K533" s="18">
        <f t="shared" si="44"/>
        <v>259.36666666666667</v>
      </c>
      <c r="L533" s="88">
        <f>SUM(F533:K533)</f>
        <v>103065.91333333333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209289.20999999996</v>
      </c>
      <c r="G534" s="89">
        <f t="shared" ref="G534:L534" si="45">SUM(G531:G533)</f>
        <v>81030.03</v>
      </c>
      <c r="H534" s="89">
        <f t="shared" si="45"/>
        <v>15797.38</v>
      </c>
      <c r="I534" s="89">
        <f t="shared" si="45"/>
        <v>1611.08</v>
      </c>
      <c r="J534" s="89">
        <f t="shared" si="45"/>
        <v>691.94</v>
      </c>
      <c r="K534" s="89">
        <f t="shared" si="45"/>
        <v>778.1</v>
      </c>
      <c r="L534" s="89">
        <f t="shared" si="45"/>
        <v>309197.74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>
        <v>0</v>
      </c>
      <c r="G536" s="18">
        <v>0</v>
      </c>
      <c r="H536" s="18">
        <v>0</v>
      </c>
      <c r="I536" s="18">
        <v>0</v>
      </c>
      <c r="J536" s="18">
        <v>0</v>
      </c>
      <c r="K536" s="18">
        <v>0</v>
      </c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>
        <v>0</v>
      </c>
      <c r="G537" s="18">
        <v>0</v>
      </c>
      <c r="H537" s="18">
        <v>0</v>
      </c>
      <c r="I537" s="18">
        <v>0</v>
      </c>
      <c r="J537" s="18">
        <v>0</v>
      </c>
      <c r="K537" s="18">
        <v>0</v>
      </c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>
        <v>0</v>
      </c>
      <c r="G538" s="18">
        <v>0</v>
      </c>
      <c r="H538" s="18">
        <v>0</v>
      </c>
      <c r="I538" s="18">
        <v>0</v>
      </c>
      <c r="J538" s="18">
        <v>0</v>
      </c>
      <c r="K538" s="18">
        <v>0</v>
      </c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46">SUM(G536:G538)</f>
        <v>0</v>
      </c>
      <c r="H539" s="89">
        <f t="shared" si="46"/>
        <v>0</v>
      </c>
      <c r="I539" s="89">
        <f t="shared" si="46"/>
        <v>0</v>
      </c>
      <c r="J539" s="89">
        <f t="shared" si="46"/>
        <v>0</v>
      </c>
      <c r="K539" s="89">
        <f t="shared" si="46"/>
        <v>0</v>
      </c>
      <c r="L539" s="89">
        <f t="shared" si="46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>
        <v>0</v>
      </c>
      <c r="G541" s="18">
        <v>0</v>
      </c>
      <c r="H541" s="18">
        <v>73274.740000000005</v>
      </c>
      <c r="I541" s="18">
        <v>0</v>
      </c>
      <c r="J541" s="18">
        <v>0</v>
      </c>
      <c r="K541" s="18">
        <v>0</v>
      </c>
      <c r="L541" s="88">
        <f>SUM(F541:K541)</f>
        <v>73274.740000000005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>
        <v>0</v>
      </c>
      <c r="G542" s="18">
        <v>0</v>
      </c>
      <c r="H542" s="18">
        <v>13500.96</v>
      </c>
      <c r="I542" s="18">
        <v>0</v>
      </c>
      <c r="J542" s="18">
        <v>0</v>
      </c>
      <c r="K542" s="18">
        <v>0</v>
      </c>
      <c r="L542" s="88">
        <f>SUM(F542:K542)</f>
        <v>13500.96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>
        <v>0</v>
      </c>
      <c r="G543" s="18">
        <v>0</v>
      </c>
      <c r="H543" s="18">
        <v>80379</v>
      </c>
      <c r="I543" s="18">
        <v>0</v>
      </c>
      <c r="J543" s="18">
        <v>0</v>
      </c>
      <c r="K543" s="18">
        <v>0</v>
      </c>
      <c r="L543" s="88">
        <f>SUM(F543:K543)</f>
        <v>80379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7">SUM(G541:G543)</f>
        <v>0</v>
      </c>
      <c r="H544" s="193">
        <f t="shared" si="47"/>
        <v>167154.70000000001</v>
      </c>
      <c r="I544" s="193">
        <f t="shared" si="47"/>
        <v>0</v>
      </c>
      <c r="J544" s="193">
        <f t="shared" si="47"/>
        <v>0</v>
      </c>
      <c r="K544" s="193">
        <f t="shared" si="47"/>
        <v>0</v>
      </c>
      <c r="L544" s="193">
        <f t="shared" si="47"/>
        <v>167154.70000000001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1311145.28</v>
      </c>
      <c r="G545" s="89">
        <f t="shared" ref="G545:L545" si="48">G524+G529+G534+G539+G544</f>
        <v>655521.74</v>
      </c>
      <c r="H545" s="89">
        <f t="shared" si="48"/>
        <v>496826.63</v>
      </c>
      <c r="I545" s="89">
        <f t="shared" si="48"/>
        <v>4636.41</v>
      </c>
      <c r="J545" s="89">
        <f t="shared" si="48"/>
        <v>9871.25</v>
      </c>
      <c r="K545" s="89">
        <f t="shared" si="48"/>
        <v>1806.08</v>
      </c>
      <c r="L545" s="89">
        <f t="shared" si="48"/>
        <v>2479807.3899999997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655128.19999999995</v>
      </c>
      <c r="G549" s="87">
        <f>L526</f>
        <v>215726.17</v>
      </c>
      <c r="H549" s="87">
        <f>L531</f>
        <v>103065.91333333333</v>
      </c>
      <c r="I549" s="87">
        <f>L536</f>
        <v>0</v>
      </c>
      <c r="J549" s="87">
        <f>L541</f>
        <v>73274.740000000005</v>
      </c>
      <c r="K549" s="87">
        <f>SUM(F549:J549)</f>
        <v>1047195.0233333333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423807.91000000003</v>
      </c>
      <c r="G550" s="87">
        <f>L527</f>
        <v>100696.92000000001</v>
      </c>
      <c r="H550" s="87">
        <f>L532</f>
        <v>103065.91333333333</v>
      </c>
      <c r="I550" s="87">
        <f>L537</f>
        <v>0</v>
      </c>
      <c r="J550" s="87">
        <f>L542</f>
        <v>13500.96</v>
      </c>
      <c r="K550" s="87">
        <f>SUM(F550:J550)</f>
        <v>641071.70333333337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448512.45999999996</v>
      </c>
      <c r="G551" s="87">
        <f>L528</f>
        <v>159583.29</v>
      </c>
      <c r="H551" s="87">
        <f>L533</f>
        <v>103065.91333333333</v>
      </c>
      <c r="I551" s="87">
        <f>L538</f>
        <v>0</v>
      </c>
      <c r="J551" s="87">
        <f>L543</f>
        <v>80379</v>
      </c>
      <c r="K551" s="87">
        <f>SUM(F551:J551)</f>
        <v>791540.66333333333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9">SUM(F549:F551)</f>
        <v>1527448.5699999998</v>
      </c>
      <c r="G552" s="89">
        <f t="shared" si="49"/>
        <v>476006.38</v>
      </c>
      <c r="H552" s="89">
        <f t="shared" si="49"/>
        <v>309197.74</v>
      </c>
      <c r="I552" s="89">
        <f t="shared" si="49"/>
        <v>0</v>
      </c>
      <c r="J552" s="89">
        <f t="shared" si="49"/>
        <v>167154.70000000001</v>
      </c>
      <c r="K552" s="89">
        <f t="shared" si="49"/>
        <v>2479807.3899999997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50">SUM(F557:F559)</f>
        <v>0</v>
      </c>
      <c r="G560" s="108">
        <f t="shared" si="50"/>
        <v>0</v>
      </c>
      <c r="H560" s="108">
        <f t="shared" si="50"/>
        <v>0</v>
      </c>
      <c r="I560" s="108">
        <f t="shared" si="50"/>
        <v>0</v>
      </c>
      <c r="J560" s="108">
        <f t="shared" si="50"/>
        <v>0</v>
      </c>
      <c r="K560" s="108">
        <f t="shared" si="50"/>
        <v>0</v>
      </c>
      <c r="L560" s="89">
        <f t="shared" si="50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51">SUM(F562:F564)</f>
        <v>0</v>
      </c>
      <c r="G565" s="89">
        <f t="shared" si="51"/>
        <v>0</v>
      </c>
      <c r="H565" s="89">
        <f t="shared" si="51"/>
        <v>0</v>
      </c>
      <c r="I565" s="89">
        <f t="shared" si="51"/>
        <v>0</v>
      </c>
      <c r="J565" s="89">
        <f t="shared" si="51"/>
        <v>0</v>
      </c>
      <c r="K565" s="89">
        <f t="shared" si="51"/>
        <v>0</v>
      </c>
      <c r="L565" s="89">
        <f t="shared" si="51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52">SUM(G567:G569)</f>
        <v>0</v>
      </c>
      <c r="H570" s="193">
        <f t="shared" si="52"/>
        <v>0</v>
      </c>
      <c r="I570" s="193">
        <f t="shared" si="52"/>
        <v>0</v>
      </c>
      <c r="J570" s="193">
        <f t="shared" si="52"/>
        <v>0</v>
      </c>
      <c r="K570" s="193">
        <f t="shared" si="52"/>
        <v>0</v>
      </c>
      <c r="L570" s="193">
        <f t="shared" si="52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53">G560+G565+G570</f>
        <v>0</v>
      </c>
      <c r="H571" s="89">
        <f t="shared" si="53"/>
        <v>0</v>
      </c>
      <c r="I571" s="89">
        <f t="shared" si="53"/>
        <v>0</v>
      </c>
      <c r="J571" s="89">
        <f t="shared" si="53"/>
        <v>0</v>
      </c>
      <c r="K571" s="89">
        <f t="shared" si="53"/>
        <v>0</v>
      </c>
      <c r="L571" s="89">
        <f t="shared" si="53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>
        <v>0</v>
      </c>
      <c r="G575" s="18">
        <v>0</v>
      </c>
      <c r="H575" s="18">
        <v>0</v>
      </c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>
        <v>0</v>
      </c>
      <c r="G576" s="18">
        <v>0</v>
      </c>
      <c r="H576" s="18">
        <v>0</v>
      </c>
      <c r="I576" s="87">
        <f t="shared" ref="I576:I587" si="54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>
        <v>0</v>
      </c>
      <c r="I577" s="87">
        <f t="shared" si="54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>
        <v>0</v>
      </c>
      <c r="G578" s="18">
        <v>0</v>
      </c>
      <c r="H578" s="18">
        <v>0</v>
      </c>
      <c r="I578" s="87">
        <f t="shared" si="54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v>0</v>
      </c>
      <c r="G579" s="18">
        <v>0</v>
      </c>
      <c r="H579" s="18">
        <v>0</v>
      </c>
      <c r="I579" s="87">
        <f t="shared" si="54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>
        <v>0</v>
      </c>
      <c r="G580" s="18">
        <v>0</v>
      </c>
      <c r="H580" s="18">
        <v>0</v>
      </c>
      <c r="I580" s="87">
        <f t="shared" si="54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>
        <v>0</v>
      </c>
      <c r="I581" s="87">
        <f t="shared" si="54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98002.04</v>
      </c>
      <c r="G582" s="18">
        <v>47294.45</v>
      </c>
      <c r="H582" s="18">
        <v>66213.95</v>
      </c>
      <c r="I582" s="87">
        <f t="shared" si="54"/>
        <v>211510.44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>
        <v>0</v>
      </c>
      <c r="G583" s="18">
        <v>0</v>
      </c>
      <c r="H583" s="18">
        <v>0</v>
      </c>
      <c r="I583" s="87">
        <f t="shared" si="54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>
        <v>0</v>
      </c>
      <c r="G584" s="18">
        <v>0</v>
      </c>
      <c r="H584" s="18">
        <v>7749.91</v>
      </c>
      <c r="I584" s="87">
        <f t="shared" si="54"/>
        <v>7749.91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>
        <v>0</v>
      </c>
      <c r="G585" s="18">
        <v>0</v>
      </c>
      <c r="H585" s="18">
        <v>0</v>
      </c>
      <c r="I585" s="87">
        <f t="shared" si="54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>
        <v>0</v>
      </c>
      <c r="I586" s="87">
        <f t="shared" si="54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>
        <v>0</v>
      </c>
      <c r="G587" s="18">
        <v>0</v>
      </c>
      <c r="H587" s="18">
        <v>0</v>
      </c>
      <c r="I587" s="87">
        <f t="shared" si="54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162561</v>
      </c>
      <c r="I591" s="18">
        <v>150370</v>
      </c>
      <c r="J591" s="18">
        <v>150360</v>
      </c>
      <c r="K591" s="104">
        <f t="shared" ref="K591:K597" si="55">SUM(H591:J591)</f>
        <v>463291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73274.740000000005</v>
      </c>
      <c r="I592" s="18">
        <v>13500.96</v>
      </c>
      <c r="J592" s="18">
        <v>80379</v>
      </c>
      <c r="K592" s="104">
        <f t="shared" si="55"/>
        <v>167154.70000000001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>
        <v>0</v>
      </c>
      <c r="I593" s="18">
        <v>0</v>
      </c>
      <c r="J593" s="18">
        <v>47965.5</v>
      </c>
      <c r="K593" s="104">
        <f t="shared" si="55"/>
        <v>47965.5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>
        <v>0</v>
      </c>
      <c r="I594" s="18">
        <v>16662.5</v>
      </c>
      <c r="J594" s="18">
        <v>48437.5</v>
      </c>
      <c r="K594" s="104">
        <f t="shared" si="55"/>
        <v>65100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0</v>
      </c>
      <c r="I595" s="18">
        <v>725</v>
      </c>
      <c r="J595" s="18">
        <v>975</v>
      </c>
      <c r="K595" s="104">
        <f t="shared" si="55"/>
        <v>1700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>
        <v>0</v>
      </c>
      <c r="I596" s="18">
        <v>0</v>
      </c>
      <c r="J596" s="18">
        <v>0</v>
      </c>
      <c r="K596" s="104">
        <f t="shared" si="55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>
        <v>0</v>
      </c>
      <c r="I597" s="18">
        <v>0</v>
      </c>
      <c r="J597" s="18">
        <v>0</v>
      </c>
      <c r="K597" s="104">
        <f t="shared" si="55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235835.74</v>
      </c>
      <c r="I598" s="108">
        <f>SUM(I591:I597)</f>
        <v>181258.46</v>
      </c>
      <c r="J598" s="108">
        <f>SUM(J591:J597)</f>
        <v>328117</v>
      </c>
      <c r="K598" s="108">
        <f>SUM(K591:K597)</f>
        <v>745211.2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>
        <v>0</v>
      </c>
      <c r="I602" s="18">
        <v>0</v>
      </c>
      <c r="J602" s="18">
        <v>0</v>
      </c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>
        <v>0</v>
      </c>
      <c r="I603" s="18">
        <v>0</v>
      </c>
      <c r="J603" s="18">
        <v>0</v>
      </c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f>39896.17+5398.83+599.87</f>
        <v>45894.87</v>
      </c>
      <c r="I604" s="18">
        <f>101476.87+599.87</f>
        <v>102076.73999999999</v>
      </c>
      <c r="J604" s="18">
        <f>44608.25+599.87</f>
        <v>45208.12</v>
      </c>
      <c r="K604" s="104">
        <f>SUM(H604:J604)</f>
        <v>193179.72999999998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45894.87</v>
      </c>
      <c r="I605" s="108">
        <f>SUM(I602:I604)</f>
        <v>102076.73999999999</v>
      </c>
      <c r="J605" s="108">
        <f>SUM(J602:J604)</f>
        <v>45208.12</v>
      </c>
      <c r="K605" s="108">
        <f>SUM(K602:K604)</f>
        <v>193179.72999999998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v>12965.19</v>
      </c>
      <c r="G611" s="18">
        <f>F611*0.0765</f>
        <v>991.83703500000001</v>
      </c>
      <c r="H611" s="18"/>
      <c r="I611" s="18"/>
      <c r="J611" s="18"/>
      <c r="K611" s="18"/>
      <c r="L611" s="88">
        <f>SUM(F611:K611)</f>
        <v>13957.027035000001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>
        <v>4083.38</v>
      </c>
      <c r="G612" s="18">
        <f t="shared" ref="G612:G613" si="56">F612*0.0765</f>
        <v>312.37857000000002</v>
      </c>
      <c r="H612" s="18"/>
      <c r="I612" s="18"/>
      <c r="J612" s="18"/>
      <c r="K612" s="18"/>
      <c r="L612" s="88">
        <f>SUM(F612:K612)</f>
        <v>4395.75857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>
        <v>6116.57</v>
      </c>
      <c r="G613" s="18">
        <f t="shared" si="56"/>
        <v>467.91760499999998</v>
      </c>
      <c r="H613" s="18"/>
      <c r="I613" s="18"/>
      <c r="J613" s="18"/>
      <c r="K613" s="18"/>
      <c r="L613" s="88">
        <f>SUM(F613:K613)</f>
        <v>6584.4876049999993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57">SUM(F611:F613)</f>
        <v>23165.14</v>
      </c>
      <c r="G614" s="108">
        <f t="shared" si="57"/>
        <v>1772.13321</v>
      </c>
      <c r="H614" s="108">
        <f t="shared" si="57"/>
        <v>0</v>
      </c>
      <c r="I614" s="108">
        <f t="shared" si="57"/>
        <v>0</v>
      </c>
      <c r="J614" s="108">
        <f t="shared" si="57"/>
        <v>0</v>
      </c>
      <c r="K614" s="108">
        <f t="shared" si="57"/>
        <v>0</v>
      </c>
      <c r="L614" s="89">
        <f t="shared" si="57"/>
        <v>24937.273209999999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1565563.3800000001</v>
      </c>
      <c r="H617" s="109">
        <f>SUM(F52)</f>
        <v>1565563.38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54836.53</v>
      </c>
      <c r="H618" s="109">
        <f>SUM(G52)</f>
        <v>54836.53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131501.09</v>
      </c>
      <c r="H619" s="109">
        <f>SUM(H52)</f>
        <v>131501.09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517691.73</v>
      </c>
      <c r="H621" s="109">
        <f>SUM(J52)</f>
        <v>517691.73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1409634.64</v>
      </c>
      <c r="H622" s="109">
        <f>F476</f>
        <v>1409634.6399999969</v>
      </c>
      <c r="I622" s="121" t="s">
        <v>101</v>
      </c>
      <c r="J622" s="109">
        <f t="shared" ref="J622:J655" si="58">G622-H622</f>
        <v>3.0267983675003052E-9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7085.84</v>
      </c>
      <c r="H623" s="109">
        <f>G476</f>
        <v>7085.8399999999674</v>
      </c>
      <c r="I623" s="121" t="s">
        <v>102</v>
      </c>
      <c r="J623" s="109">
        <f t="shared" si="58"/>
        <v>3.2741809263825417E-11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2494.75</v>
      </c>
      <c r="H624" s="109">
        <f>H476</f>
        <v>2494.7500000001164</v>
      </c>
      <c r="I624" s="121" t="s">
        <v>103</v>
      </c>
      <c r="J624" s="109">
        <f t="shared" si="58"/>
        <v>-1.1641532182693481E-10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8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517691.73</v>
      </c>
      <c r="H626" s="109">
        <f>J476</f>
        <v>517691.73</v>
      </c>
      <c r="I626" s="140" t="s">
        <v>105</v>
      </c>
      <c r="J626" s="109">
        <f t="shared" si="58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16155489.219999999</v>
      </c>
      <c r="H627" s="104">
        <f>SUM(F468)</f>
        <v>16155489.219999999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400797.08999999997</v>
      </c>
      <c r="H628" s="104">
        <f>SUM(G468)</f>
        <v>400797.08999999997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578832.88</v>
      </c>
      <c r="H629" s="104">
        <f>SUM(H468)</f>
        <v>578832.88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97216.05</v>
      </c>
      <c r="H631" s="104">
        <f>SUM(J468)</f>
        <v>97216.05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16455094.800000001</v>
      </c>
      <c r="H632" s="104">
        <f>SUM(F472)</f>
        <v>16455094.800000001</v>
      </c>
      <c r="I632" s="140" t="s">
        <v>111</v>
      </c>
      <c r="J632" s="109">
        <f t="shared" si="58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578104.74999999988</v>
      </c>
      <c r="H633" s="104">
        <f>SUM(H472)</f>
        <v>578104.74999999988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7227.1399999999994</v>
      </c>
      <c r="H634" s="104">
        <f>I369</f>
        <v>7227.1399999999994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406546.36</v>
      </c>
      <c r="H635" s="104">
        <f>SUM(G472)</f>
        <v>406546.36</v>
      </c>
      <c r="I635" s="140" t="s">
        <v>114</v>
      </c>
      <c r="J635" s="109">
        <f t="shared" si="58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8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97216.05</v>
      </c>
      <c r="H637" s="164">
        <f>SUM(J468)</f>
        <v>97216.05</v>
      </c>
      <c r="I637" s="165" t="s">
        <v>110</v>
      </c>
      <c r="J637" s="151">
        <f t="shared" si="58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8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517691.73</v>
      </c>
      <c r="H639" s="104">
        <f>SUM(F461)</f>
        <v>517691.73</v>
      </c>
      <c r="I639" s="140" t="s">
        <v>856</v>
      </c>
      <c r="J639" s="109">
        <f t="shared" si="58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857</v>
      </c>
      <c r="J640" s="109">
        <f t="shared" si="58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8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517691.73</v>
      </c>
      <c r="H642" s="104">
        <f>SUM(I461)</f>
        <v>517691.73</v>
      </c>
      <c r="I642" s="140" t="s">
        <v>859</v>
      </c>
      <c r="J642" s="109">
        <f t="shared" si="58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8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12216.05</v>
      </c>
      <c r="H644" s="104">
        <f>H408</f>
        <v>12216.050000000001</v>
      </c>
      <c r="I644" s="140" t="s">
        <v>480</v>
      </c>
      <c r="J644" s="109">
        <f t="shared" si="58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85000</v>
      </c>
      <c r="H645" s="104">
        <f>G408</f>
        <v>85000</v>
      </c>
      <c r="I645" s="140" t="s">
        <v>481</v>
      </c>
      <c r="J645" s="109">
        <f t="shared" si="58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97216.05</v>
      </c>
      <c r="H646" s="104">
        <f>L408</f>
        <v>97216.05</v>
      </c>
      <c r="I646" s="140" t="s">
        <v>477</v>
      </c>
      <c r="J646" s="109">
        <f t="shared" si="58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745211.2</v>
      </c>
      <c r="H647" s="104">
        <f>L208+L226+L244</f>
        <v>745211.2</v>
      </c>
      <c r="I647" s="140" t="s">
        <v>396</v>
      </c>
      <c r="J647" s="109">
        <f t="shared" si="58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193179.72999999998</v>
      </c>
      <c r="H648" s="104">
        <f>(J257+J338)-(J255+J336)</f>
        <v>193179.72999999998</v>
      </c>
      <c r="I648" s="140" t="s">
        <v>702</v>
      </c>
      <c r="J648" s="109">
        <f t="shared" si="58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235835.74</v>
      </c>
      <c r="H649" s="104">
        <f>H598</f>
        <v>235835.74</v>
      </c>
      <c r="I649" s="140" t="s">
        <v>388</v>
      </c>
      <c r="J649" s="109">
        <f t="shared" si="58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181258.46</v>
      </c>
      <c r="H650" s="104">
        <f>I598</f>
        <v>181258.46</v>
      </c>
      <c r="I650" s="140" t="s">
        <v>389</v>
      </c>
      <c r="J650" s="109">
        <f t="shared" si="58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328117</v>
      </c>
      <c r="H651" s="104">
        <f>J598</f>
        <v>328117</v>
      </c>
      <c r="I651" s="140" t="s">
        <v>390</v>
      </c>
      <c r="J651" s="109">
        <f t="shared" si="58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8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8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8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85000</v>
      </c>
      <c r="H655" s="104">
        <f>K266+K347</f>
        <v>85000</v>
      </c>
      <c r="I655" s="140" t="s">
        <v>400</v>
      </c>
      <c r="J655" s="109">
        <f t="shared" si="58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4827997.0966666667</v>
      </c>
      <c r="G660" s="19">
        <f>(L229+L309+L359)</f>
        <v>4609958.0166666666</v>
      </c>
      <c r="H660" s="19">
        <f>(L247+L328+L360)</f>
        <v>5574262.4466666663</v>
      </c>
      <c r="I660" s="19">
        <f>SUM(F660:H660)</f>
        <v>15012217.559999999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51158.769853538637</v>
      </c>
      <c r="G661" s="19">
        <f>(L359/IF(SUM(L358:L360)=0,1,SUM(L358:L360))*(SUM(G97:G110)))</f>
        <v>51204.146648743983</v>
      </c>
      <c r="H661" s="19">
        <f>(L360/IF(SUM(L358:L360)=0,1,SUM(L358:L360))*(SUM(G97:G110)))</f>
        <v>51189.363497717364</v>
      </c>
      <c r="I661" s="19">
        <f>SUM(F661:H661)</f>
        <v>153552.27999999997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236576.37</v>
      </c>
      <c r="G662" s="19">
        <f>(L226+L306)-(J226+J306)</f>
        <v>181515.33</v>
      </c>
      <c r="H662" s="19">
        <f>(L244+L325)-(J244+J325)</f>
        <v>328117</v>
      </c>
      <c r="I662" s="19">
        <f>SUM(F662:H662)</f>
        <v>746208.7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157853.93703500001</v>
      </c>
      <c r="G663" s="199">
        <f>SUM(G575:G587)+SUM(I602:I604)+L612</f>
        <v>153766.94857000001</v>
      </c>
      <c r="H663" s="199">
        <f>SUM(H575:H587)+SUM(J602:J604)+L613</f>
        <v>125756.46760500001</v>
      </c>
      <c r="I663" s="19">
        <f>SUM(F663:H663)</f>
        <v>437377.35321000003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4382408.0197781278</v>
      </c>
      <c r="G664" s="19">
        <f>G660-SUM(G661:G663)</f>
        <v>4223471.5914479224</v>
      </c>
      <c r="H664" s="19">
        <f>H660-SUM(H661:H663)</f>
        <v>5069199.6155639486</v>
      </c>
      <c r="I664" s="19">
        <f>I660-SUM(I661:I663)</f>
        <v>13675079.226789998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f>7.83+36.17+326.22</f>
        <v>370.22</v>
      </c>
      <c r="G665" s="248">
        <f>309.65</f>
        <v>309.64999999999998</v>
      </c>
      <c r="H665" s="248">
        <f>331.86</f>
        <v>331.86</v>
      </c>
      <c r="I665" s="19">
        <f>SUM(F665:H665)</f>
        <v>1011.73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11837.31</v>
      </c>
      <c r="G667" s="19">
        <f>ROUND(G664/G665,2)</f>
        <v>13639.5</v>
      </c>
      <c r="H667" s="19">
        <f>ROUND(H664/H665,2)</f>
        <v>15275.11</v>
      </c>
      <c r="I667" s="19">
        <f>ROUND(I664/I665,2)</f>
        <v>13516.53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5.78</v>
      </c>
      <c r="I670" s="19">
        <f>SUM(F670:H670)</f>
        <v>5.78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11837.31</v>
      </c>
      <c r="G672" s="19">
        <f>ROUND((G664+G669)/(G665+G670),2)</f>
        <v>13639.5</v>
      </c>
      <c r="H672" s="19">
        <f>ROUND((H664+H669)/(H665+H670),2)</f>
        <v>15013.62</v>
      </c>
      <c r="I672" s="19">
        <f>ROUND((I664+I669)/(I665+I670),2)</f>
        <v>13439.75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1" sqref="B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MASCENIC REGIONAL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4126463.11</v>
      </c>
      <c r="C9" s="229">
        <f>'DOE25'!G197+'DOE25'!G215+'DOE25'!G233+'DOE25'!G276+'DOE25'!G295+'DOE25'!G314</f>
        <v>2217759.3899999997</v>
      </c>
    </row>
    <row r="10" spans="1:3" x14ac:dyDescent="0.2">
      <c r="A10" t="s">
        <v>778</v>
      </c>
      <c r="B10" s="240">
        <v>3884858.27</v>
      </c>
      <c r="C10" s="240">
        <v>2087909.13</v>
      </c>
    </row>
    <row r="11" spans="1:3" x14ac:dyDescent="0.2">
      <c r="A11" t="s">
        <v>779</v>
      </c>
      <c r="B11" s="240">
        <v>32360.06</v>
      </c>
      <c r="C11" s="240">
        <v>17391.66</v>
      </c>
    </row>
    <row r="12" spans="1:3" x14ac:dyDescent="0.2">
      <c r="A12" t="s">
        <v>780</v>
      </c>
      <c r="B12" s="240">
        <v>209244.78</v>
      </c>
      <c r="C12" s="240">
        <v>112458.6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4126463.11</v>
      </c>
      <c r="C13" s="231">
        <f>SUM(C10:C12)</f>
        <v>2217759.39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827922.28</v>
      </c>
      <c r="C18" s="229">
        <f>'DOE25'!G198+'DOE25'!G216+'DOE25'!G234+'DOE25'!G277+'DOE25'!G296+'DOE25'!G315</f>
        <v>472974.23999999993</v>
      </c>
    </row>
    <row r="19" spans="1:3" x14ac:dyDescent="0.2">
      <c r="A19" t="s">
        <v>778</v>
      </c>
      <c r="B19" s="240">
        <v>398498.05</v>
      </c>
      <c r="C19" s="240">
        <v>227653.38</v>
      </c>
    </row>
    <row r="20" spans="1:3" x14ac:dyDescent="0.2">
      <c r="A20" t="s">
        <v>779</v>
      </c>
      <c r="B20" s="240">
        <v>388830.23</v>
      </c>
      <c r="C20" s="240">
        <v>222130.39</v>
      </c>
    </row>
    <row r="21" spans="1:3" x14ac:dyDescent="0.2">
      <c r="A21" t="s">
        <v>780</v>
      </c>
      <c r="B21" s="240">
        <v>40594</v>
      </c>
      <c r="C21" s="240">
        <v>23190.47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827922.28</v>
      </c>
      <c r="C22" s="231">
        <f>SUM(C19:C21)</f>
        <v>472974.24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63153</v>
      </c>
      <c r="C27" s="234">
        <f>'DOE25'!G199+'DOE25'!G217+'DOE25'!G235+'DOE25'!G278+'DOE25'!G297+'DOE25'!G316</f>
        <v>37003.919999999998</v>
      </c>
    </row>
    <row r="28" spans="1:3" x14ac:dyDescent="0.2">
      <c r="A28" t="s">
        <v>778</v>
      </c>
      <c r="B28" s="240">
        <v>63153</v>
      </c>
      <c r="C28" s="240">
        <v>37003.919999999998</v>
      </c>
    </row>
    <row r="29" spans="1:3" x14ac:dyDescent="0.2">
      <c r="A29" t="s">
        <v>779</v>
      </c>
      <c r="B29" s="240">
        <v>0</v>
      </c>
      <c r="C29" s="240">
        <v>0</v>
      </c>
    </row>
    <row r="30" spans="1:3" x14ac:dyDescent="0.2">
      <c r="A30" t="s">
        <v>780</v>
      </c>
      <c r="B30" s="240">
        <v>0</v>
      </c>
      <c r="C30" s="240">
        <v>0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63153</v>
      </c>
      <c r="C31" s="231">
        <f>SUM(C28:C30)</f>
        <v>37003.919999999998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96135.6</v>
      </c>
      <c r="C36" s="235">
        <f>'DOE25'!G200+'DOE25'!G218+'DOE25'!G236+'DOE25'!G279+'DOE25'!G298+'DOE25'!G317</f>
        <v>11584.95</v>
      </c>
    </row>
    <row r="37" spans="1:3" x14ac:dyDescent="0.2">
      <c r="A37" t="s">
        <v>778</v>
      </c>
      <c r="B37" s="240">
        <v>0</v>
      </c>
      <c r="C37" s="240">
        <v>0</v>
      </c>
    </row>
    <row r="38" spans="1:3" x14ac:dyDescent="0.2">
      <c r="A38" t="s">
        <v>779</v>
      </c>
      <c r="B38" s="240">
        <v>0</v>
      </c>
      <c r="C38" s="240">
        <v>0</v>
      </c>
    </row>
    <row r="39" spans="1:3" x14ac:dyDescent="0.2">
      <c r="A39" t="s">
        <v>780</v>
      </c>
      <c r="B39" s="240">
        <v>96135.6</v>
      </c>
      <c r="C39" s="240">
        <v>11584.95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96135.6</v>
      </c>
      <c r="C40" s="231">
        <f>SUM(C37:C39)</f>
        <v>11584.95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MASCENIC REGIONAL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8099108</v>
      </c>
      <c r="D5" s="20">
        <f>SUM('DOE25'!L197:L200)+SUM('DOE25'!L215:L218)+SUM('DOE25'!L233:L236)-F5-G5</f>
        <v>7971598.7199999997</v>
      </c>
      <c r="E5" s="243"/>
      <c r="F5" s="255">
        <f>SUM('DOE25'!J197:J200)+SUM('DOE25'!J215:J218)+SUM('DOE25'!J233:J236)</f>
        <v>117390.79999999999</v>
      </c>
      <c r="G5" s="53">
        <f>SUM('DOE25'!K197:K200)+SUM('DOE25'!K215:K218)+SUM('DOE25'!K233:K236)</f>
        <v>10118.48</v>
      </c>
      <c r="H5" s="259"/>
    </row>
    <row r="6" spans="1:9" x14ac:dyDescent="0.2">
      <c r="A6" s="32">
        <v>2100</v>
      </c>
      <c r="B6" t="s">
        <v>800</v>
      </c>
      <c r="C6" s="245">
        <f t="shared" si="0"/>
        <v>1123486.3400000001</v>
      </c>
      <c r="D6" s="20">
        <f>'DOE25'!L202+'DOE25'!L220+'DOE25'!L238-F6-G6</f>
        <v>1123197.5900000001</v>
      </c>
      <c r="E6" s="243"/>
      <c r="F6" s="255">
        <f>'DOE25'!J202+'DOE25'!J220+'DOE25'!J238</f>
        <v>0</v>
      </c>
      <c r="G6" s="53">
        <f>'DOE25'!K202+'DOE25'!K220+'DOE25'!K238</f>
        <v>288.75</v>
      </c>
      <c r="H6" s="259"/>
    </row>
    <row r="7" spans="1:9" x14ac:dyDescent="0.2">
      <c r="A7" s="32">
        <v>2200</v>
      </c>
      <c r="B7" t="s">
        <v>833</v>
      </c>
      <c r="C7" s="245">
        <f t="shared" si="0"/>
        <v>226723.78000000003</v>
      </c>
      <c r="D7" s="20">
        <f>'DOE25'!L203+'DOE25'!L221+'DOE25'!L239-F7-G7</f>
        <v>224280.84000000003</v>
      </c>
      <c r="E7" s="243"/>
      <c r="F7" s="255">
        <f>'DOE25'!J203+'DOE25'!J221+'DOE25'!J239</f>
        <v>2442.94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628757.93999999994</v>
      </c>
      <c r="D8" s="243"/>
      <c r="E8" s="20">
        <f>'DOE25'!L204+'DOE25'!L222+'DOE25'!L240-F8-G8-D9-D11</f>
        <v>610043.6</v>
      </c>
      <c r="F8" s="255">
        <f>'DOE25'!J204+'DOE25'!J222+'DOE25'!J240</f>
        <v>821.89</v>
      </c>
      <c r="G8" s="53">
        <f>'DOE25'!K204+'DOE25'!K222+'DOE25'!K240</f>
        <v>17892.45</v>
      </c>
      <c r="H8" s="259"/>
    </row>
    <row r="9" spans="1:9" x14ac:dyDescent="0.2">
      <c r="A9" s="32">
        <v>2310</v>
      </c>
      <c r="B9" t="s">
        <v>817</v>
      </c>
      <c r="C9" s="245">
        <f t="shared" si="0"/>
        <v>112147.39</v>
      </c>
      <c r="D9" s="244">
        <v>112147.39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17700</v>
      </c>
      <c r="D10" s="243"/>
      <c r="E10" s="244">
        <v>17700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298157.09999999998</v>
      </c>
      <c r="D11" s="244">
        <v>298157.09999999998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1079362.7</v>
      </c>
      <c r="D12" s="20">
        <f>'DOE25'!L205+'DOE25'!L223+'DOE25'!L241-F12-G12</f>
        <v>1068820.53</v>
      </c>
      <c r="E12" s="243"/>
      <c r="F12" s="255">
        <f>'DOE25'!J205+'DOE25'!J223+'DOE25'!J241</f>
        <v>1091.27</v>
      </c>
      <c r="G12" s="53">
        <f>'DOE25'!K205+'DOE25'!K223+'DOE25'!K241</f>
        <v>9450.9000000000015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1456429.16</v>
      </c>
      <c r="D14" s="20">
        <f>'DOE25'!L207+'DOE25'!L225+'DOE25'!L243-F14-G14</f>
        <v>1396472.96</v>
      </c>
      <c r="E14" s="243"/>
      <c r="F14" s="255">
        <f>'DOE25'!J207+'DOE25'!J225+'DOE25'!J243</f>
        <v>59956.200000000012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745211.2</v>
      </c>
      <c r="D15" s="20">
        <f>'DOE25'!L208+'DOE25'!L226+'DOE25'!L244-F15-G15</f>
        <v>745211.2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290934.94000000006</v>
      </c>
      <c r="D16" s="243"/>
      <c r="E16" s="20">
        <f>'DOE25'!L209+'DOE25'!L227+'DOE25'!L245-F16-G16</f>
        <v>286656.75000000006</v>
      </c>
      <c r="F16" s="255">
        <f>'DOE25'!J209+'DOE25'!J227+'DOE25'!J245</f>
        <v>4278.1900000000005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2309776.25</v>
      </c>
      <c r="D25" s="243"/>
      <c r="E25" s="243"/>
      <c r="F25" s="258"/>
      <c r="G25" s="256"/>
      <c r="H25" s="257">
        <f>'DOE25'!L260+'DOE25'!L261+'DOE25'!L341+'DOE25'!L342</f>
        <v>2309776.25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406546.36</v>
      </c>
      <c r="D29" s="20">
        <f>'DOE25'!L358+'DOE25'!L359+'DOE25'!L360-'DOE25'!I367-F29-G29</f>
        <v>406546.36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545352.64999999991</v>
      </c>
      <c r="D31" s="20">
        <f>'DOE25'!L290+'DOE25'!L309+'DOE25'!L328+'DOE25'!L333+'DOE25'!L334+'DOE25'!L335-F31-G31</f>
        <v>538154.21</v>
      </c>
      <c r="E31" s="243"/>
      <c r="F31" s="255">
        <f>'DOE25'!J290+'DOE25'!J309+'DOE25'!J328+'DOE25'!J333+'DOE25'!J334+'DOE25'!J335</f>
        <v>7198.44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13884586.899999999</v>
      </c>
      <c r="E33" s="246">
        <f>SUM(E5:E31)</f>
        <v>914400.35000000009</v>
      </c>
      <c r="F33" s="246">
        <f>SUM(F5:F31)</f>
        <v>193179.73</v>
      </c>
      <c r="G33" s="246">
        <f>SUM(G5:G31)</f>
        <v>37750.58</v>
      </c>
      <c r="H33" s="246">
        <f>SUM(H5:H31)</f>
        <v>2309776.25</v>
      </c>
    </row>
    <row r="35" spans="2:8" ht="12" thickBot="1" x14ac:dyDescent="0.25">
      <c r="B35" s="253" t="s">
        <v>846</v>
      </c>
      <c r="D35" s="254">
        <f>E33</f>
        <v>914400.35000000009</v>
      </c>
      <c r="E35" s="249"/>
    </row>
    <row r="36" spans="2:8" ht="12" thickTop="1" x14ac:dyDescent="0.2">
      <c r="B36" t="s">
        <v>814</v>
      </c>
      <c r="D36" s="20">
        <f>D33</f>
        <v>13884586.899999999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47" activePane="bottomLeft" state="frozen"/>
      <selection activeCell="F46" sqref="F46"/>
      <selection pane="bottomLeft" activeCell="C49" sqref="C49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MASCENIC REGIONAL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1318474.97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517691.73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168533.58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5749.27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78554.83</v>
      </c>
      <c r="D13" s="95">
        <f>'DOE25'!G14</f>
        <v>42145.21</v>
      </c>
      <c r="E13" s="95">
        <f>'DOE25'!H14</f>
        <v>131501.09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6942.05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1565563.3800000001</v>
      </c>
      <c r="D18" s="41">
        <f>SUM(D8:D17)</f>
        <v>54836.53</v>
      </c>
      <c r="E18" s="41">
        <f>SUM(E8:E17)</f>
        <v>131501.09</v>
      </c>
      <c r="F18" s="41">
        <f>SUM(F8:F17)</f>
        <v>0</v>
      </c>
      <c r="G18" s="41">
        <f>SUM(G8:G17)</f>
        <v>517691.73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40180.660000000003</v>
      </c>
      <c r="E21" s="95">
        <f>'DOE25'!H22</f>
        <v>128352.92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106879.89</v>
      </c>
      <c r="D23" s="95">
        <f>'DOE25'!G24</f>
        <v>2197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41757.81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7291.04</v>
      </c>
      <c r="D29" s="95">
        <f>'DOE25'!G30</f>
        <v>5373.03</v>
      </c>
      <c r="E29" s="95">
        <f>'DOE25'!H30</f>
        <v>653.41999999999996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155928.74000000002</v>
      </c>
      <c r="D31" s="41">
        <f>SUM(D21:D30)</f>
        <v>47750.69</v>
      </c>
      <c r="E31" s="41">
        <f>SUM(E21:E30)</f>
        <v>129006.34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6942.05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2494.75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143.79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85000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218168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517691.73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82673.429999999993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1023793.21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1409634.64</v>
      </c>
      <c r="D50" s="41">
        <f>SUM(D34:D49)</f>
        <v>7085.84</v>
      </c>
      <c r="E50" s="41">
        <f>SUM(E34:E49)</f>
        <v>2494.75</v>
      </c>
      <c r="F50" s="41">
        <f>SUM(F34:F49)</f>
        <v>0</v>
      </c>
      <c r="G50" s="41">
        <f>SUM(G34:G49)</f>
        <v>517691.73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1565563.38</v>
      </c>
      <c r="D51" s="41">
        <f>D50+D31</f>
        <v>54836.53</v>
      </c>
      <c r="E51" s="41">
        <f>E50+E31</f>
        <v>131501.09</v>
      </c>
      <c r="F51" s="41">
        <f>F50+F31</f>
        <v>0</v>
      </c>
      <c r="G51" s="41">
        <f>G50+G31</f>
        <v>517691.73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7653474.5199999996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56524.44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1.57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12216.05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153552.28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67800.95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124326.95999999999</v>
      </c>
      <c r="D62" s="130">
        <f>SUM(D57:D61)</f>
        <v>153552.28</v>
      </c>
      <c r="E62" s="130">
        <f>SUM(E57:E61)</f>
        <v>0</v>
      </c>
      <c r="F62" s="130">
        <f>SUM(F57:F61)</f>
        <v>0</v>
      </c>
      <c r="G62" s="130">
        <f>SUM(G57:G61)</f>
        <v>12216.05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7777801.4799999995</v>
      </c>
      <c r="D63" s="22">
        <f>D56+D62</f>
        <v>153552.28</v>
      </c>
      <c r="E63" s="22">
        <f>E56+E62</f>
        <v>0</v>
      </c>
      <c r="F63" s="22">
        <f>F56+F62</f>
        <v>0</v>
      </c>
      <c r="G63" s="22">
        <f>G56+G62</f>
        <v>12216.05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5492642.4800000004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1073259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6565901.4800000004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797013.02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43588.61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82350.81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5494.38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922952.44</v>
      </c>
      <c r="D78" s="130">
        <f>SUM(D72:D77)</f>
        <v>5494.38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7488853.9199999999</v>
      </c>
      <c r="D81" s="130">
        <f>SUM(D79:D80)+D78+D70</f>
        <v>5494.38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71477.75</v>
      </c>
      <c r="D88" s="95">
        <f>SUM('DOE25'!G153:G161)</f>
        <v>241750.43</v>
      </c>
      <c r="E88" s="95">
        <f>SUM('DOE25'!H153:H161)</f>
        <v>578832.88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71477.75</v>
      </c>
      <c r="D91" s="131">
        <f>SUM(D85:D90)</f>
        <v>241750.43</v>
      </c>
      <c r="E91" s="131">
        <f>SUM(E85:E90)</f>
        <v>578832.88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777613.95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85000</v>
      </c>
    </row>
    <row r="97" spans="1:7" x14ac:dyDescent="0.2">
      <c r="A97" t="s">
        <v>757</v>
      </c>
      <c r="B97" s="32" t="s">
        <v>188</v>
      </c>
      <c r="C97" s="95">
        <f>SUM('DOE25'!F180:F181)</f>
        <v>39742.120000000003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817356.07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85000</v>
      </c>
    </row>
    <row r="104" spans="1:7" ht="12.75" thickTop="1" thickBot="1" x14ac:dyDescent="0.25">
      <c r="A104" s="33" t="s">
        <v>764</v>
      </c>
      <c r="C104" s="86">
        <f>C63+C81+C91+C103</f>
        <v>16155489.219999999</v>
      </c>
      <c r="D104" s="86">
        <f>D63+D81+D91+D103</f>
        <v>400797.08999999997</v>
      </c>
      <c r="E104" s="86">
        <f>E63+E81+E91+E103</f>
        <v>578832.88</v>
      </c>
      <c r="F104" s="86">
        <f>F63+F81+F91+F103</f>
        <v>0</v>
      </c>
      <c r="G104" s="86">
        <f>G63+G81+G103</f>
        <v>97216.05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6504688.1300000008</v>
      </c>
      <c r="D109" s="24" t="s">
        <v>288</v>
      </c>
      <c r="E109" s="95">
        <f>('DOE25'!L276)+('DOE25'!L295)+('DOE25'!L314)</f>
        <v>249134.77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1313745.6099999999</v>
      </c>
      <c r="D110" s="24" t="s">
        <v>288</v>
      </c>
      <c r="E110" s="95">
        <f>('DOE25'!L277)+('DOE25'!L296)+('DOE25'!L315)</f>
        <v>213702.97999999998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113972.59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166701.66999999998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8099108</v>
      </c>
      <c r="D115" s="86">
        <f>SUM(D109:D114)</f>
        <v>0</v>
      </c>
      <c r="E115" s="86">
        <f>SUM(E109:E114)</f>
        <v>462837.75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1123486.3400000001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226723.78000000003</v>
      </c>
      <c r="D119" s="24" t="s">
        <v>288</v>
      </c>
      <c r="E119" s="95">
        <f>+('DOE25'!L282)+('DOE25'!L301)+('DOE25'!L320)</f>
        <v>81517.399999999994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1039062.4299999999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1079362.7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1456429.16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745211.2</v>
      </c>
      <c r="D124" s="24" t="s">
        <v>288</v>
      </c>
      <c r="E124" s="95">
        <f>+('DOE25'!L287)+('DOE25'!L306)+('DOE25'!L325)</f>
        <v>997.5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290934.94000000006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406546.36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5961210.5500000007</v>
      </c>
      <c r="D128" s="86">
        <f>SUM(D118:D127)</f>
        <v>406546.36</v>
      </c>
      <c r="E128" s="86">
        <f>SUM(E118:E127)</f>
        <v>82514.899999999994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1475000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834776.25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32752.1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97216.05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-12216.050000000003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2394776.25</v>
      </c>
      <c r="D144" s="141">
        <f>SUM(D130:D143)</f>
        <v>0</v>
      </c>
      <c r="E144" s="141">
        <f>SUM(E130:E143)</f>
        <v>32752.1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16455094.800000001</v>
      </c>
      <c r="D145" s="86">
        <f>(D115+D128+D144)</f>
        <v>406546.36</v>
      </c>
      <c r="E145" s="86">
        <f>(E115+E128+E144)</f>
        <v>578104.75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16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06/10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09/26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23623315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5.39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17700000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17700000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1475000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1475000</v>
      </c>
    </row>
    <row r="159" spans="1:9" x14ac:dyDescent="0.2">
      <c r="A159" s="22" t="s">
        <v>35</v>
      </c>
      <c r="B159" s="137">
        <f>'DOE25'!F498</f>
        <v>14750000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14750000</v>
      </c>
    </row>
    <row r="160" spans="1:9" x14ac:dyDescent="0.2">
      <c r="A160" s="22" t="s">
        <v>36</v>
      </c>
      <c r="B160" s="137">
        <f>'DOE25'!F499</f>
        <v>3975125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3975125</v>
      </c>
    </row>
    <row r="161" spans="1:7" x14ac:dyDescent="0.2">
      <c r="A161" s="22" t="s">
        <v>37</v>
      </c>
      <c r="B161" s="137">
        <f>'DOE25'!F500</f>
        <v>18725125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18725125</v>
      </c>
    </row>
    <row r="162" spans="1:7" x14ac:dyDescent="0.2">
      <c r="A162" s="22" t="s">
        <v>38</v>
      </c>
      <c r="B162" s="137">
        <f>'DOE25'!F501</f>
        <v>1475000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1475000</v>
      </c>
    </row>
    <row r="163" spans="1:7" x14ac:dyDescent="0.2">
      <c r="A163" s="22" t="s">
        <v>39</v>
      </c>
      <c r="B163" s="137">
        <f>'DOE25'!F502</f>
        <v>755273.75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755273.75</v>
      </c>
    </row>
    <row r="164" spans="1:7" x14ac:dyDescent="0.2">
      <c r="A164" s="22" t="s">
        <v>246</v>
      </c>
      <c r="B164" s="137">
        <f>'DOE25'!F503</f>
        <v>2230273.75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2230273.75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MASCENIC REGIONAL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11837</v>
      </c>
    </row>
    <row r="5" spans="1:4" x14ac:dyDescent="0.2">
      <c r="B5" t="s">
        <v>703</v>
      </c>
      <c r="C5" s="179">
        <f>IF('DOE25'!G665+'DOE25'!G670=0,0,ROUND('DOE25'!G672,0))</f>
        <v>13640</v>
      </c>
    </row>
    <row r="6" spans="1:4" x14ac:dyDescent="0.2">
      <c r="B6" t="s">
        <v>62</v>
      </c>
      <c r="C6" s="179">
        <f>IF('DOE25'!H665+'DOE25'!H670=0,0,ROUND('DOE25'!H672,0))</f>
        <v>15014</v>
      </c>
    </row>
    <row r="7" spans="1:4" x14ac:dyDescent="0.2">
      <c r="B7" t="s">
        <v>704</v>
      </c>
      <c r="C7" s="179">
        <f>IF('DOE25'!I665+'DOE25'!I670=0,0,ROUND('DOE25'!I672,0))</f>
        <v>13440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6753823</v>
      </c>
      <c r="D10" s="182">
        <f>ROUND((C10/$C$28)*100,1)</f>
        <v>43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1527449</v>
      </c>
      <c r="D11" s="182">
        <f>ROUND((C11/$C$28)*100,1)</f>
        <v>9.6999999999999993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113973</v>
      </c>
      <c r="D12" s="182">
        <f>ROUND((C12/$C$28)*100,1)</f>
        <v>0.7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166702</v>
      </c>
      <c r="D13" s="182">
        <f>ROUND((C13/$C$28)*100,1)</f>
        <v>1.1000000000000001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1123486</v>
      </c>
      <c r="D15" s="182">
        <f t="shared" ref="D15:D27" si="0">ROUND((C15/$C$28)*100,1)</f>
        <v>7.2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308241</v>
      </c>
      <c r="D16" s="182">
        <f t="shared" si="0"/>
        <v>2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1329997</v>
      </c>
      <c r="D17" s="182">
        <f t="shared" si="0"/>
        <v>8.5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1079363</v>
      </c>
      <c r="D18" s="182">
        <f t="shared" si="0"/>
        <v>6.9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1456429</v>
      </c>
      <c r="D20" s="182">
        <f t="shared" si="0"/>
        <v>9.3000000000000007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746209</v>
      </c>
      <c r="D21" s="182">
        <f t="shared" si="0"/>
        <v>4.8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834776</v>
      </c>
      <c r="D25" s="182">
        <f t="shared" si="0"/>
        <v>5.3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252993.72</v>
      </c>
      <c r="D27" s="182">
        <f t="shared" si="0"/>
        <v>1.6</v>
      </c>
    </row>
    <row r="28" spans="1:4" x14ac:dyDescent="0.2">
      <c r="B28" s="187" t="s">
        <v>722</v>
      </c>
      <c r="C28" s="180">
        <f>SUM(C10:C27)</f>
        <v>15693441.720000001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15693441.720000001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1475000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7653475</v>
      </c>
      <c r="D35" s="182">
        <f t="shared" ref="D35:D40" si="1">ROUND((C35/$C$41)*100,1)</f>
        <v>45.1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914156.47999999858</v>
      </c>
      <c r="D36" s="182">
        <f t="shared" si="1"/>
        <v>5.4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6565901</v>
      </c>
      <c r="D37" s="182">
        <f t="shared" si="1"/>
        <v>38.700000000000003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928447</v>
      </c>
      <c r="D38" s="182">
        <f t="shared" si="1"/>
        <v>5.5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892061</v>
      </c>
      <c r="D39" s="182">
        <f t="shared" si="1"/>
        <v>5.3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16954040.479999997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MASCENIC REGIONAL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2017-10-06T15:47:49Z</cp:lastPrinted>
  <dcterms:created xsi:type="dcterms:W3CDTF">1997-12-04T19:04:30Z</dcterms:created>
  <dcterms:modified xsi:type="dcterms:W3CDTF">2017-11-29T17:41:07Z</dcterms:modified>
</cp:coreProperties>
</file>