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04" i="1" l="1"/>
  <c r="H582" i="1"/>
  <c r="G582" i="1"/>
  <c r="F582" i="1"/>
  <c r="F521" i="1"/>
  <c r="F135" i="1"/>
  <c r="F101" i="1"/>
  <c r="F57" i="1"/>
  <c r="B19" i="12" l="1"/>
  <c r="J591" i="1" l="1"/>
  <c r="I591" i="1"/>
  <c r="H591" i="1"/>
  <c r="H499" i="1" l="1"/>
  <c r="G499" i="1"/>
  <c r="F499" i="1"/>
  <c r="H498" i="1"/>
  <c r="G498" i="1"/>
  <c r="F498" i="1"/>
  <c r="K242" i="1" l="1"/>
  <c r="K266" i="1"/>
  <c r="G396" i="1" l="1"/>
  <c r="G465" i="1"/>
  <c r="H367" i="1" l="1"/>
  <c r="G367" i="1"/>
  <c r="F367" i="1"/>
  <c r="I360" i="1"/>
  <c r="I359" i="1"/>
  <c r="I358" i="1"/>
  <c r="I301" i="1"/>
  <c r="H307" i="1"/>
  <c r="H287" i="1"/>
  <c r="H320" i="1"/>
  <c r="H301" i="1"/>
  <c r="H282" i="1"/>
  <c r="H300" i="1"/>
  <c r="H281" i="1"/>
  <c r="H319" i="1"/>
  <c r="I276" i="1"/>
  <c r="J276" i="1"/>
  <c r="F276" i="1"/>
  <c r="F238" i="1" l="1"/>
  <c r="F233" i="1"/>
  <c r="F4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E131" i="2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F94" i="1"/>
  <c r="F111" i="1"/>
  <c r="G111" i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C85" i="2" s="1"/>
  <c r="F162" i="1"/>
  <c r="F169" i="1" s="1"/>
  <c r="G147" i="1"/>
  <c r="D85" i="2" s="1"/>
  <c r="G162" i="1"/>
  <c r="H147" i="1"/>
  <c r="E85" i="2" s="1"/>
  <c r="H162" i="1"/>
  <c r="H169" i="1" s="1"/>
  <c r="I147" i="1"/>
  <c r="F85" i="2" s="1"/>
  <c r="I162" i="1"/>
  <c r="L250" i="1"/>
  <c r="C113" i="2" s="1"/>
  <c r="L332" i="1"/>
  <c r="E113" i="2" s="1"/>
  <c r="L254" i="1"/>
  <c r="L268" i="1"/>
  <c r="L269" i="1"/>
  <c r="C143" i="2" s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E123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2" i="1"/>
  <c r="H652" i="1"/>
  <c r="G653" i="1"/>
  <c r="H653" i="1"/>
  <c r="G654" i="1"/>
  <c r="H654" i="1"/>
  <c r="H655" i="1"/>
  <c r="I169" i="1"/>
  <c r="A40" i="12" l="1"/>
  <c r="A13" i="12"/>
  <c r="G192" i="1"/>
  <c r="G476" i="1"/>
  <c r="H623" i="1" s="1"/>
  <c r="F461" i="1"/>
  <c r="H639" i="1" s="1"/>
  <c r="E119" i="2"/>
  <c r="E120" i="2"/>
  <c r="C114" i="2"/>
  <c r="C32" i="10"/>
  <c r="G461" i="1"/>
  <c r="H640" i="1" s="1"/>
  <c r="J640" i="1" s="1"/>
  <c r="E124" i="2"/>
  <c r="H25" i="13"/>
  <c r="C25" i="13" s="1"/>
  <c r="H461" i="1"/>
  <c r="H641" i="1" s="1"/>
  <c r="J641" i="1" s="1"/>
  <c r="E122" i="2"/>
  <c r="L539" i="1"/>
  <c r="I446" i="1"/>
  <c r="G642" i="1" s="1"/>
  <c r="J552" i="1"/>
  <c r="L393" i="1"/>
  <c r="C138" i="2" s="1"/>
  <c r="E125" i="2"/>
  <c r="E121" i="2"/>
  <c r="E112" i="2"/>
  <c r="K571" i="1"/>
  <c r="L560" i="1"/>
  <c r="E111" i="2"/>
  <c r="J643" i="1"/>
  <c r="H571" i="1"/>
  <c r="L565" i="1"/>
  <c r="C131" i="2"/>
  <c r="H552" i="1"/>
  <c r="G552" i="1"/>
  <c r="I552" i="1"/>
  <c r="J545" i="1"/>
  <c r="D17" i="13"/>
  <c r="C17" i="13" s="1"/>
  <c r="K545" i="1"/>
  <c r="K549" i="1"/>
  <c r="G408" i="1"/>
  <c r="H645" i="1" s="1"/>
  <c r="J645" i="1" s="1"/>
  <c r="L309" i="1"/>
  <c r="E109" i="2"/>
  <c r="F22" i="13"/>
  <c r="C22" i="13" s="1"/>
  <c r="F571" i="1"/>
  <c r="L544" i="1"/>
  <c r="L433" i="1"/>
  <c r="K550" i="1"/>
  <c r="F130" i="2"/>
  <c r="F144" i="2" s="1"/>
  <c r="F145" i="2" s="1"/>
  <c r="F552" i="1"/>
  <c r="L614" i="1"/>
  <c r="J476" i="1"/>
  <c r="H626" i="1" s="1"/>
  <c r="E31" i="2"/>
  <c r="C18" i="2"/>
  <c r="K551" i="1"/>
  <c r="C26" i="10"/>
  <c r="C25" i="10"/>
  <c r="D19" i="13"/>
  <c r="C19" i="13" s="1"/>
  <c r="D18" i="13"/>
  <c r="C18" i="13" s="1"/>
  <c r="H112" i="1"/>
  <c r="G545" i="1"/>
  <c r="L524" i="1"/>
  <c r="I476" i="1"/>
  <c r="H625" i="1" s="1"/>
  <c r="J625" i="1" s="1"/>
  <c r="H408" i="1"/>
  <c r="H644" i="1" s="1"/>
  <c r="J644" i="1" s="1"/>
  <c r="K338" i="1"/>
  <c r="K352" i="1" s="1"/>
  <c r="H192" i="1"/>
  <c r="C142" i="2"/>
  <c r="E103" i="2"/>
  <c r="E78" i="2"/>
  <c r="E81" i="2" s="1"/>
  <c r="J140" i="1"/>
  <c r="G62" i="2"/>
  <c r="G63" i="2" s="1"/>
  <c r="E114" i="2"/>
  <c r="C91" i="2"/>
  <c r="C70" i="2"/>
  <c r="F18" i="2"/>
  <c r="E62" i="2"/>
  <c r="E63" i="2" s="1"/>
  <c r="A31" i="12"/>
  <c r="K598" i="1"/>
  <c r="G647" i="1" s="1"/>
  <c r="C125" i="2"/>
  <c r="C111" i="2"/>
  <c r="C12" i="10"/>
  <c r="L401" i="1"/>
  <c r="C139" i="2" s="1"/>
  <c r="J639" i="1"/>
  <c r="G645" i="1"/>
  <c r="J112" i="1"/>
  <c r="J655" i="1"/>
  <c r="F112" i="1"/>
  <c r="C35" i="10"/>
  <c r="C57" i="2"/>
  <c r="C62" i="2" s="1"/>
  <c r="C63" i="2" s="1"/>
  <c r="D91" i="2"/>
  <c r="F661" i="1"/>
  <c r="L328" i="1"/>
  <c r="H338" i="1"/>
  <c r="H352" i="1" s="1"/>
  <c r="C16" i="10"/>
  <c r="E118" i="2"/>
  <c r="E110" i="2"/>
  <c r="L290" i="1"/>
  <c r="J623" i="1"/>
  <c r="D31" i="2"/>
  <c r="J617" i="1"/>
  <c r="K605" i="1"/>
  <c r="G648" i="1" s="1"/>
  <c r="L570" i="1"/>
  <c r="I571" i="1"/>
  <c r="J571" i="1"/>
  <c r="G338" i="1"/>
  <c r="G352" i="1" s="1"/>
  <c r="H476" i="1"/>
  <c r="H624" i="1" s="1"/>
  <c r="L427" i="1"/>
  <c r="L382" i="1"/>
  <c r="G636" i="1" s="1"/>
  <c r="J636" i="1" s="1"/>
  <c r="J338" i="1"/>
  <c r="J352" i="1" s="1"/>
  <c r="F338" i="1"/>
  <c r="F352" i="1" s="1"/>
  <c r="I52" i="1"/>
  <c r="H620" i="1" s="1"/>
  <c r="J620" i="1" s="1"/>
  <c r="G157" i="2"/>
  <c r="C29" i="10"/>
  <c r="L534" i="1"/>
  <c r="I545" i="1"/>
  <c r="K503" i="1"/>
  <c r="F476" i="1"/>
  <c r="H622" i="1" s="1"/>
  <c r="J622" i="1" s="1"/>
  <c r="L419" i="1"/>
  <c r="L434" i="1" s="1"/>
  <c r="G638" i="1" s="1"/>
  <c r="J638" i="1" s="1"/>
  <c r="F192" i="1"/>
  <c r="H52" i="1"/>
  <c r="H619" i="1" s="1"/>
  <c r="J619" i="1" s="1"/>
  <c r="G164" i="2"/>
  <c r="G161" i="2"/>
  <c r="G156" i="2"/>
  <c r="C119" i="2"/>
  <c r="G81" i="2"/>
  <c r="D50" i="2"/>
  <c r="D18" i="2"/>
  <c r="L351" i="1"/>
  <c r="F662" i="1"/>
  <c r="E8" i="13"/>
  <c r="C8" i="13" s="1"/>
  <c r="F78" i="2"/>
  <c r="F81" i="2" s="1"/>
  <c r="C78" i="2"/>
  <c r="D81" i="2"/>
  <c r="D62" i="2"/>
  <c r="D63" i="2" s="1"/>
  <c r="H545" i="1"/>
  <c r="C10" i="10"/>
  <c r="G662" i="1"/>
  <c r="C124" i="2"/>
  <c r="G649" i="1"/>
  <c r="J649" i="1" s="1"/>
  <c r="G650" i="1"/>
  <c r="J650" i="1" s="1"/>
  <c r="E13" i="13"/>
  <c r="C13" i="13" s="1"/>
  <c r="C19" i="10"/>
  <c r="D7" i="13"/>
  <c r="C7" i="13" s="1"/>
  <c r="L229" i="1"/>
  <c r="C11" i="10"/>
  <c r="E16" i="13"/>
  <c r="C16" i="13" s="1"/>
  <c r="C17" i="10"/>
  <c r="H662" i="1"/>
  <c r="C21" i="10"/>
  <c r="D15" i="13"/>
  <c r="C15" i="13" s="1"/>
  <c r="G651" i="1"/>
  <c r="J651" i="1" s="1"/>
  <c r="H647" i="1"/>
  <c r="C20" i="10"/>
  <c r="C122" i="2"/>
  <c r="C121" i="2"/>
  <c r="C120" i="2"/>
  <c r="D6" i="13"/>
  <c r="C6" i="13" s="1"/>
  <c r="C118" i="2"/>
  <c r="C15" i="10"/>
  <c r="C13" i="10"/>
  <c r="L247" i="1"/>
  <c r="C110" i="2"/>
  <c r="J257" i="1"/>
  <c r="J271" i="1" s="1"/>
  <c r="I257" i="1"/>
  <c r="I271" i="1" s="1"/>
  <c r="J634" i="1"/>
  <c r="D127" i="2"/>
  <c r="D128" i="2" s="1"/>
  <c r="D145" i="2" s="1"/>
  <c r="D29" i="13"/>
  <c r="C29" i="13" s="1"/>
  <c r="H661" i="1"/>
  <c r="L362" i="1"/>
  <c r="C27" i="10" s="1"/>
  <c r="G661" i="1"/>
  <c r="D14" i="13"/>
  <c r="C14" i="13" s="1"/>
  <c r="C123" i="2"/>
  <c r="C18" i="10"/>
  <c r="D12" i="13"/>
  <c r="C12" i="13" s="1"/>
  <c r="C112" i="2"/>
  <c r="D5" i="13"/>
  <c r="C5" i="13" s="1"/>
  <c r="K257" i="1"/>
  <c r="K271" i="1" s="1"/>
  <c r="L211" i="1"/>
  <c r="C109" i="2"/>
  <c r="L270" i="1"/>
  <c r="L256" i="1"/>
  <c r="H257" i="1"/>
  <c r="H271" i="1" s="1"/>
  <c r="F257" i="1"/>
  <c r="F271" i="1" s="1"/>
  <c r="G257" i="1"/>
  <c r="G271" i="1" s="1"/>
  <c r="G624" i="1"/>
  <c r="K500" i="1"/>
  <c r="I460" i="1"/>
  <c r="I452" i="1"/>
  <c r="G112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G169" i="1"/>
  <c r="C39" i="10" s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I662" i="1" l="1"/>
  <c r="H33" i="13"/>
  <c r="C81" i="2"/>
  <c r="C104" i="2" s="1"/>
  <c r="L571" i="1"/>
  <c r="H660" i="1"/>
  <c r="H193" i="1"/>
  <c r="G629" i="1" s="1"/>
  <c r="J629" i="1" s="1"/>
  <c r="G660" i="1"/>
  <c r="G664" i="1" s="1"/>
  <c r="G672" i="1" s="1"/>
  <c r="C5" i="10" s="1"/>
  <c r="E128" i="2"/>
  <c r="K552" i="1"/>
  <c r="E51" i="2"/>
  <c r="E115" i="2"/>
  <c r="G104" i="2"/>
  <c r="F33" i="13"/>
  <c r="L545" i="1"/>
  <c r="I193" i="1"/>
  <c r="G630" i="1" s="1"/>
  <c r="J630" i="1" s="1"/>
  <c r="J193" i="1"/>
  <c r="G646" i="1" s="1"/>
  <c r="F104" i="2"/>
  <c r="J647" i="1"/>
  <c r="G51" i="2"/>
  <c r="C141" i="2"/>
  <c r="C144" i="2" s="1"/>
  <c r="C36" i="10"/>
  <c r="J624" i="1"/>
  <c r="D104" i="2"/>
  <c r="H664" i="1"/>
  <c r="H672" i="1" s="1"/>
  <c r="C6" i="10" s="1"/>
  <c r="I661" i="1"/>
  <c r="L338" i="1"/>
  <c r="L352" i="1" s="1"/>
  <c r="G633" i="1" s="1"/>
  <c r="J633" i="1" s="1"/>
  <c r="D31" i="13"/>
  <c r="C31" i="13" s="1"/>
  <c r="F660" i="1"/>
  <c r="F664" i="1" s="1"/>
  <c r="F672" i="1" s="1"/>
  <c r="C4" i="10" s="1"/>
  <c r="D51" i="2"/>
  <c r="E104" i="2"/>
  <c r="F193" i="1"/>
  <c r="G627" i="1" s="1"/>
  <c r="J627" i="1" s="1"/>
  <c r="E33" i="13"/>
  <c r="D35" i="13" s="1"/>
  <c r="C128" i="2"/>
  <c r="H648" i="1"/>
  <c r="J648" i="1" s="1"/>
  <c r="C115" i="2"/>
  <c r="G635" i="1"/>
  <c r="J635" i="1" s="1"/>
  <c r="L257" i="1"/>
  <c r="L271" i="1" s="1"/>
  <c r="G632" i="1" s="1"/>
  <c r="J632" i="1" s="1"/>
  <c r="C28" i="10"/>
  <c r="D23" i="10" s="1"/>
  <c r="L408" i="1"/>
  <c r="I461" i="1"/>
  <c r="H642" i="1" s="1"/>
  <c r="J642" i="1" s="1"/>
  <c r="C51" i="2"/>
  <c r="G193" i="1"/>
  <c r="G628" i="1" s="1"/>
  <c r="J628" i="1" s="1"/>
  <c r="G626" i="1"/>
  <c r="J626" i="1" s="1"/>
  <c r="J52" i="1"/>
  <c r="H621" i="1" s="1"/>
  <c r="J621" i="1" s="1"/>
  <c r="C38" i="10"/>
  <c r="E145" i="2" l="1"/>
  <c r="G631" i="1"/>
  <c r="J631" i="1" s="1"/>
  <c r="H667" i="1"/>
  <c r="D33" i="13"/>
  <c r="D36" i="13" s="1"/>
  <c r="F667" i="1"/>
  <c r="I660" i="1"/>
  <c r="I664" i="1" s="1"/>
  <c r="I672" i="1" s="1"/>
  <c r="C7" i="10" s="1"/>
  <c r="C145" i="2"/>
  <c r="G667" i="1"/>
  <c r="D19" i="10"/>
  <c r="D22" i="10"/>
  <c r="D18" i="10"/>
  <c r="D27" i="10"/>
  <c r="D24" i="10"/>
  <c r="D26" i="10"/>
  <c r="D17" i="10"/>
  <c r="C30" i="10"/>
  <c r="D25" i="10"/>
  <c r="D20" i="10"/>
  <c r="D13" i="10"/>
  <c r="D21" i="10"/>
  <c r="D15" i="10"/>
  <c r="D12" i="10"/>
  <c r="D10" i="10"/>
  <c r="D11" i="10"/>
  <c r="D16" i="10"/>
  <c r="G637" i="1"/>
  <c r="J637" i="1" s="1"/>
  <c r="H646" i="1"/>
  <c r="J646" i="1" s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<sst xmlns="http://schemas.openxmlformats.org/spreadsheetml/2006/main" count="3961" uniqueCount="919">
  <si>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</si>
  <si>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</si>
  <si>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</si>
  <si>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</si>
  <si>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</si>
  <si>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</si>
  <si>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</si>
  <si>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</si>
  <si>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</si>
  <si>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</si>
  <si>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</si>
  <si>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</si>
  <si>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</si>
  <si>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</si>
  <si>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</si>
  <si>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</si>
  <si>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</si>
  <si>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</si>
  <si>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</si>
  <si>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</si>
  <si>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</si>
  <si>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</si>
  <si>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</si>
  <si>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</si>
  <si>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</si>
  <si>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</si>
  <si>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</si>
  <si>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</si>
  <si>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</si>
  <si>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</si>
  <si>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</si>
  <si>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</si>
  <si>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</si>
  <si>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</si>
  <si>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</si>
  <si>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</si>
  <si>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</si>
  <si>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</si>
  <si>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</si>
  <si>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</si>
  <si>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</si>
  <si>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</si>
  <si>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</si>
  <si>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</si>
  <si>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</si>
  <si>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</si>
  <si>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</si>
  <si>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</si>
  <si>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</si>
  <si>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</si>
  <si>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</si>
  <si>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</si>
  <si>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</si>
  <si>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</si>
  <si>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</si>
  <si>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</si>
  <si>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</si>
  <si>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</si>
  <si>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</si>
  <si>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</si>
  <si>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</si>
  <si>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</si>
  <si>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</si>
  <si>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</si>
  <si>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</si>
  <si>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</si>
  <si>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</si>
  <si>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</si>
  <si>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</si>
  <si>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</si>
  <si>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</si>
  <si>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</si>
  <si>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</si>
  <si>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</si>
  <si>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</si>
  <si>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</si>
  <si>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</si>
  <si>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</si>
  <si>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</si>
  <si>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</si>
  <si>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</si>
  <si>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</si>
  <si>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</si>
  <si>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</si>
  <si>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</si>
  <si>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</si>
  <si>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</si>
  <si>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</si>
  <si>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</si>
  <si>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</si>
  <si>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</si>
  <si>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</si>
  <si>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</si>
  <si>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</si>
  <si>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</si>
  <si>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</si>
  <si>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</si>
  <si>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</si>
  <si>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</si>
  <si>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</si>
  <si>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</si>
  <si>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</si>
  <si>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</si>
  <si>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</si>
  <si>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</si>
  <si>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</si>
  <si>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</si>
  <si>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</si>
  <si>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</si>
  <si>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</si>
  <si>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</si>
  <si>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</si>
  <si>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</si>
  <si>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</si>
  <si>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</si>
  <si>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</si>
  <si>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</si>
  <si>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</si>
  <si>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</si>
  <si>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</si>
  <si>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</si>
  <si>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</si>
  <si>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</si>
  <si>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</si>
  <si>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</si>
  <si>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</si>
  <si>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</si>
  <si>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</si>
  <si>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</si>
  <si>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</si>
  <si>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</si>
  <si>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</si>
  <si>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</si>
  <si>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</si>
  <si>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</si>
  <si>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</si>
  <si>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</si>
  <si>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</si>
  <si>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</si>
  <si>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</si>
  <si>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</si>
  <si>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</si>
  <si>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</si>
  <si>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</si>
  <si>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</si>
  <si>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</si>
  <si>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</si>
  <si>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</si>
  <si>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</si>
  <si>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</si>
  <si>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</si>
  <si>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</si>
  <si>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</si>
  <si>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</si>
  <si>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</si>
  <si>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</si>
  <si>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</si>
  <si>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</si>
  <si>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</si>
  <si>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</si>
  <si>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</si>
  <si>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</si>
  <si>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</si>
  <si>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</si>
  <si>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</si>
  <si>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</si>
  <si>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</si>
  <si>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</si>
  <si>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</si>
  <si>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</si>
  <si>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</si>
  <si>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</si>
  <si>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</si>
  <si>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</si>
  <si>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</si>
  <si>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</si>
  <si>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</si>
  <si>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</si>
  <si>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</si>
  <si>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</si>
  <si>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</si>
  <si>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</si>
  <si>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</si>
  <si>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</si>
  <si>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</si>
  <si>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</si>
  <si>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</si>
  <si>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</si>
  <si>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</si>
  <si>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</si>
  <si>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</si>
  <si>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</si>
  <si>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</si>
  <si>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</si>
  <si>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</si>
  <si>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</si>
  <si>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</si>
  <si>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</si>
  <si>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</si>
  <si>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</si>
  <si>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</si>
  <si>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</si>
  <si>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</si>
  <si>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</si>
  <si>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</si>
  <si>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</si>
  <si>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</si>
  <si>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</si>
  <si>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</si>
  <si>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</si>
  <si>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</si>
  <si>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</si>
  <si>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</si>
  <si>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</si>
  <si>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</si>
  <si>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</si>
  <si>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</si>
  <si>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</si>
  <si>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</si>
  <si>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</si>
  <si>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</si>
  <si>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</si>
  <si>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</si>
  <si>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</si>
  <si>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</si>
  <si>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</si>
  <si>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</si>
  <si>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</si>
  <si>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</si>
  <si>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</si>
  <si>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</si>
  <si>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</si>
  <si>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</si>
  <si>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</si>
  <si>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</si>
  <si>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</si>
  <si>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</si>
  <si>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</si>
  <si>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</si>
  <si>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</si>
  <si>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</si>
  <si>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</si>
  <si>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</si>
  <si>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</si>
  <si>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</si>
  <si>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</si>
  <si>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</si>
  <si>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</si>
  <si>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</si>
  <si>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</si>
  <si>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</si>
  <si>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</si>
  <si>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</si>
  <si>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</si>
  <si>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</si>
  <si>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</si>
  <si>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</si>
  <si>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</si>
  <si>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</si>
  <si>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</si>
  <si>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</si>
  <si>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</si>
  <si>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</si>
  <si>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</si>
  <si>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</si>
  <si>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</si>
  <si>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</si>
  <si>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</si>
  <si>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</si>
  <si>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</si>
  <si>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</si>
  <si>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</si>
  <si>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</si>
  <si>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</si>
  <si>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</si>
  <si>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</si>
  <si>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</si>
  <si>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</si>
  <si>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</si>
  <si>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</si>
  <si>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</si>
  <si>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</si>
  <si>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</si>
  <si>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</si>
  <si>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</si>
  <si>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</si>
  <si>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</si>
  <si>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</si>
  <si>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</si>
  <si>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</si>
  <si>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</si>
  <si>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</si>
  <si>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</si>
  <si>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</si>
  <si>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</si>
  <si>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</si>
  <si>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</si>
  <si>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</si>
  <si>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</si>
  <si>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</si>
  <si>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</si>
  <si>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</si>
  <si>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</si>
  <si>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</si>
  <si>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</si>
  <si>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</si>
  <si>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</si>
  <si>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</si>
  <si>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</si>
  <si>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</si>
  <si>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</si>
  <si>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</si>
  <si>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</si>
  <si>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</si>
  <si>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</si>
  <si>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</si>
  <si>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</si>
  <si>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</si>
  <si>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</si>
  <si>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</si>
  <si>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</si>
  <si>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</si>
  <si>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</si>
  <si>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</si>
  <si>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</si>
  <si>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</si>
  <si>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</si>
  <si>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</si>
  <si>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</si>
  <si>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</si>
  <si>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</si>
  <si>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</si>
  <si>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</si>
  <si>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</si>
  <si>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</si>
  <si>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</si>
  <si>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</si>
  <si>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</si>
  <si>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</si>
  <si>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</si>
  <si>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</si>
  <si>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</si>
  <si>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</si>
  <si>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</si>
  <si>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</si>
  <si>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</si>
  <si>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</si>
  <si>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</si>
  <si>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</si>
  <si>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</si>
  <si>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</si>
  <si>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</si>
  <si>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</si>
  <si>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</si>
  <si>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</si>
  <si>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</si>
  <si>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</si>
  <si>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</si>
  <si>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</si>
  <si>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</si>
  <si>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</si>
  <si>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</si>
  <si>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</si>
  <si>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</si>
  <si>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</si>
  <si>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</si>
  <si>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</si>
  <si>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</si>
  <si>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</si>
  <si>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</si>
  <si>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</si>
  <si>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</si>
  <si>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</si>
  <si>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</si>
  <si>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</si>
  <si>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</si>
  <si>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</si>
  <si>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</si>
  <si>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</si>
  <si>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</si>
  <si>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</si>
  <si>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</si>
  <si>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</si>
  <si>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</si>
  <si>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</si>
  <si>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</si>
  <si>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</si>
  <si>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</si>
  <si>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</si>
  <si>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</si>
  <si>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</si>
  <si>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</si>
  <si>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</si>
  <si>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</si>
  <si>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</si>
  <si>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</si>
  <si>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</si>
  <si>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</si>
  <si>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</si>
  <si>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</si>
  <si>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</si>
  <si>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</si>
  <si>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</si>
  <si>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</si>
  <si>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</si>
  <si>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</si>
  <si>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</si>
  <si>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</si>
  <si>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</si>
  <si>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</si>
  <si>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</si>
  <si>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</si>
  <si>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</si>
  <si>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</si>
  <si>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</si>
  <si>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</si>
  <si>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</si>
  <si>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</si>
  <si>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</si>
  <si>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</si>
  <si>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</si>
  <si>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</si>
  <si>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</si>
  <si>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</si>
  <si>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</si>
  <si>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</si>
  <si>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</si>
  <si>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</si>
  <si>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</si>
  <si>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</si>
  <si>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</si>
  <si>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</si>
  <si>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</si>
  <si>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</si>
  <si>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</si>
  <si>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</si>
  <si>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</si>
  <si>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</si>
  <si>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</si>
  <si>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</si>
  <si>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</si>
  <si>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</si>
  <si>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</si>
  <si>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</si>
  <si>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</si>
  <si>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</si>
  <si>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</si>
  <si>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</si>
  <si>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</si>
  <si>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</si>
  <si>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</si>
  <si>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</si>
  <si>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</si>
  <si>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</si>
  <si>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</si>
  <si>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</si>
  <si>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</si>
  <si>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</si>
  <si>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</si>
  <si>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</si>
  <si>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</si>
  <si>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</si>
  <si>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</si>
  <si>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</si>
  <si>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</si>
  <si>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</si>
  <si>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</si>
  <si>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</si>
  <si>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</si>
  <si>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</si>
  <si>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</si>
  <si>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</si>
  <si>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</si>
  <si>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</si>
  <si>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</si>
  <si>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</si>
  <si>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</si>
  <si>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</si>
  <si>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</si>
  <si>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</si>
  <si>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</si>
  <si>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</si>
  <si>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</si>
  <si>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</si>
  <si>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</si>
  <si>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</si>
  <si>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</si>
  <si>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</si>
  <si>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</si>
  <si>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</si>
  <si>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</si>
  <si>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</si>
  <si>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</si>
  <si>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</si>
  <si>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</si>
  <si>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</si>
  <si>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</si>
  <si>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</si>
  <si>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</si>
  <si>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</si>
  <si>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</si>
  <si>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</si>
  <si>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</si>
  <si>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</si>
  <si>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</si>
  <si>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</si>
  <si>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</si>
  <si>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</si>
  <si>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</si>
  <si>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</si>
  <si>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</si>
  <si>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</si>
  <si>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</si>
  <si>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</si>
  <si>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</si>
  <si>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</si>
  <si>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</si>
  <si>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</si>
  <si>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</si>
  <si>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</si>
  <si>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</si>
  <si>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</si>
  <si>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</si>
  <si>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</si>
  <si>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</si>
  <si>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</si>
  <si>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</si>
  <si>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</si>
  <si>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</si>
  <si>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</si>
  <si>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</si>
  <si>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</si>
  <si>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</si>
  <si>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</si>
  <si>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</si>
  <si>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</si>
  <si>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</si>
  <si>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</si>
  <si>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</si>
  <si>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</si>
  <si>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</si>
  <si>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</si>
  <si>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</si>
  <si>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</si>
  <si>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</si>
  <si>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</si>
  <si>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</si>
  <si>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</si>
  <si>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</si>
  <si>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</si>
  <si>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</si>
  <si>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</si>
  <si>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</si>
  <si>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</si>
  <si>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</si>
  <si>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</si>
  <si>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</si>
  <si>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</si>
  <si>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</si>
  <si>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</si>
  <si>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</si>
  <si>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</si>
  <si>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</si>
  <si>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</si>
  <si>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</si>
  <si>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</si>
  <si>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</si>
  <si>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</si>
  <si>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</si>
  <si>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</si>
  <si>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</si>
  <si>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</si>
  <si>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</si>
  <si>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</si>
  <si>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</si>
  <si>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</si>
  <si>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</si>
  <si>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</si>
  <si>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</si>
  <si>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</si>
  <si>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</si>
  <si>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</si>
  <si>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</si>
  <si>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</si>
  <si>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</si>
  <si>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</si>
  <si>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</si>
  <si>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</si>
  <si>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</si>
  <si>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</si>
  <si>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</si>
  <si>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</si>
  <si>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</si>
  <si>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</si>
  <si>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</si>
  <si>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</si>
  <si>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</si>
  <si>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</si>
  <si>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</si>
  <si>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</si>
  <si>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</si>
  <si>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</si>
  <si>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</si>
  <si>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</si>
  <si>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</si>
  <si>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</si>
  <si>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</si>
  <si>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</si>
  <si>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</si>
  <si>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</si>
  <si>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</si>
  <si>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</si>
  <si>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</si>
  <si>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</si>
  <si>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</si>
  <si>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</si>
  <si>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</si>
  <si>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</si>
  <si>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</si>
  <si>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</si>
  <si>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</si>
  <si>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</si>
  <si>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</si>
  <si>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</si>
  <si>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</si>
  <si>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</si>
  <si>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</si>
  <si>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</si>
  <si>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</si>
  <si>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</si>
  <si>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</si>
  <si>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</si>
  <si>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</si>
  <si>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</si>
  <si>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</si>
  <si>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</si>
  <si>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</si>
  <si>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</si>
  <si>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</si>
  <si>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</si>
  <si>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</si>
  <si>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</si>
  <si>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</si>
  <si>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</si>
  <si>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</si>
  <si>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</si>
  <si>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</si>
  <si>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</si>
  <si>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</si>
  <si>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</si>
  <si>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</si>
  <si>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</si>
  <si>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</si>
  <si>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</si>
  <si>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</si>
  <si>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</si>
  <si>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</si>
  <si>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</si>
  <si>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</si>
  <si>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</si>
  <si>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</si>
  <si>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</si>
  <si>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</si>
  <si>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</si>
  <si>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</si>
  <si>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</si>
  <si>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</si>
  <si>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</si>
  <si>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</si>
  <si>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</si>
  <si>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</si>
  <si>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</si>
  <si>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</si>
  <si>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</si>
  <si>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</si>
  <si>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</si>
  <si>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</si>
  <si>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</si>
  <si>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</si>
  <si>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</si>
  <si>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</si>
  <si>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</si>
  <si>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</si>
  <si>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</si>
  <si>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</si>
  <si>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</si>
  <si>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</si>
  <si>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</si>
  <si>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</si>
  <si>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</si>
  <si>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</si>
  <si>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</si>
  <si>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</si>
  <si>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</si>
  <si>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</si>
  <si>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</si>
  <si>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</si>
  <si>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</si>
  <si>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</si>
  <si>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</si>
  <si>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</si>
  <si>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</si>
  <si>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</si>
  <si>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</si>
  <si>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</si>
  <si>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</si>
  <si>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</si>
  <si>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</si>
  <si>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</si>
  <si>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</si>
  <si>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</si>
  <si>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</si>
  <si>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</si>
  <si>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</si>
  <si>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</si>
  <si>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</si>
  <si>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</si>
  <si>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</si>
  <si>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</si>
  <si>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</si>
  <si>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</si>
  <si>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</si>
  <si>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</si>
  <si>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</si>
  <si>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</si>
  <si>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</si>
  <si>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</si>
  <si>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</si>
  <si>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</si>
  <si>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</si>
  <si>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</si>
  <si>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</si>
  <si>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</si>
  <si>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</si>
  <si>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</si>
  <si>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</si>
  <si>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</si>
  <si>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</si>
  <si>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</si>
  <si>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</si>
  <si>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</si>
  <si>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</si>
  <si>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</si>
  <si>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</si>
  <si>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</si>
  <si>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</si>
  <si>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</si>
  <si>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</si>
  <si>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</si>
  <si>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</si>
  <si>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</si>
  <si>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</si>
  <si>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</si>
  <si>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</si>
  <si>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</si>
  <si>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</si>
  <si>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</si>
  <si>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</si>
  <si>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</si>
  <si>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</si>
  <si>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</si>
  <si>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</si>
  <si>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</si>
  <si>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</si>
  <si>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</si>
  <si>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</si>
  <si>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</si>
  <si>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</si>
  <si>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</si>
  <si>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</si>
  <si>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</si>
  <si>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</si>
  <si>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</si>
  <si>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</si>
  <si>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</si>
  <si>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</si>
  <si>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</si>
  <si>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</si>
  <si>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</si>
  <si>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</si>
  <si>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</si>
  <si>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</si>
  <si>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</si>
  <si>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</si>
  <si>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</si>
  <si>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</si>
  <si>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</si>
  <si>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</si>
  <si>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</si>
  <si>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</si>
  <si>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</si>
  <si>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</si>
  <si>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</si>
  <si>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</si>
  <si>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</si>
  <si>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</si>
  <si>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</si>
  <si>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</si>
  <si>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</si>
  <si>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</si>
  <si>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</si>
  <si>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</si>
  <si>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</si>
  <si>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</si>
  <si>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</si>
  <si>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</si>
  <si>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</si>
  <si>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</si>
  <si>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</si>
  <si>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</si>
  <si>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</si>
  <si>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</si>
  <si>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</si>
  <si>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</si>
  <si>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</si>
  <si>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</si>
  <si>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</si>
  <si>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</si>
  <si>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</si>
  <si>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</si>
  <si>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</si>
  <si>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</si>
  <si>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</si>
  <si>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</si>
  <si>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</si>
  <si>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</si>
  <si>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</si>
  <si>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</si>
  <si>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</si>
  <si>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</si>
  <si>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</si>
  <si>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</si>
  <si>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</si>
  <si>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</si>
  <si>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</si>
  <si>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</si>
  <si>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</si>
  <si>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</si>
  <si>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</si>
  <si>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</si>
  <si>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</si>
  <si>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</si>
  <si>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</si>
  <si>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</si>
  <si>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</si>
  <si>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</si>
  <si>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</si>
  <si>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</si>
  <si>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</si>
  <si>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</si>
  <si>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</si>
  <si>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</si>
  <si>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</si>
  <si>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</si>
  <si>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</si>
  <si>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</si>
  <si>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</si>
  <si>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</si>
  <si>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</si>
  <si>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</si>
  <si>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</si>
  <si>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</si>
  <si>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</si>
  <si>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</si>
  <si>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</si>
  <si>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</si>
  <si>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</si>
  <si>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</si>
  <si>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</si>
  <si>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</si>
  <si>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</si>
  <si>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</si>
  <si>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</si>
  <si>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</si>
  <si>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</si>
  <si>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</si>
  <si>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</si>
  <si>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</si>
  <si>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</si>
  <si>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</si>
  <si>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</si>
  <si>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</si>
  <si>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</si>
  <si>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</si>
  <si>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</si>
  <si>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</si>
  <si>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</si>
  <si>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</si>
  <si>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</si>
  <si>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</si>
  <si>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</si>
  <si>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</si>
  <si>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</si>
  <si>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</si>
  <si>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</si>
  <si>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</si>
  <si>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</si>
  <si>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</si>
  <si>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</si>
  <si>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</si>
  <si>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</si>
  <si>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</si>
  <si>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</si>
  <si>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</si>
  <si>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</si>
  <si>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</si>
  <si>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</si>
  <si>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</si>
  <si>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</si>
  <si>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</si>
  <si>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</si>
  <si>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</si>
  <si>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Merrimack School District</t>
  </si>
  <si>
    <t>2/01</t>
  </si>
  <si>
    <t>8/20</t>
  </si>
  <si>
    <t>2/04</t>
  </si>
  <si>
    <t>8/23</t>
  </si>
  <si>
    <t>07/07</t>
  </si>
  <si>
    <t>07/20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</si>
</sst>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351</v>
      </c>
      <c r="C2" s="21">
        <v>351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3393111.65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>
        <v>262686.68</v>
      </c>
      <c r="I13" s="18"/>
      <c r="J13" s="67">
        <f>SUM(I442)</f>
        <v>748053.55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20057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42564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3393111.65</v>
      </c>
      <c r="G19" s="41">
        <f>SUM(G9:G18)</f>
        <v>62621</v>
      </c>
      <c r="H19" s="41">
        <f>SUM(H9:H18)</f>
        <v>262686.68</v>
      </c>
      <c r="I19" s="41">
        <f>SUM(I9:I18)</f>
        <v>0</v>
      </c>
      <c r="J19" s="41">
        <f>SUM(J9:J18)</f>
        <v>748053.55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3762</v>
      </c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v>262686.68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56720.74</v>
      </c>
      <c r="G24" s="18">
        <v>149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>
        <v>26431</v>
      </c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56720.74</v>
      </c>
      <c r="G32" s="41">
        <f>SUM(G22:G31)</f>
        <v>30342</v>
      </c>
      <c r="H32" s="41">
        <f>SUM(H22:H31)</f>
        <v>262686.68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>
        <v>42564</v>
      </c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21839.17</v>
      </c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-10285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f>962.36+15898.01</f>
        <v>16860.37</v>
      </c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75000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11976.52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748053.55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3210714.85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3336390.91</v>
      </c>
      <c r="G51" s="41">
        <f>SUM(G35:G50)</f>
        <v>32279</v>
      </c>
      <c r="H51" s="41">
        <f>SUM(H35:H50)</f>
        <v>0</v>
      </c>
      <c r="I51" s="41">
        <f>SUM(I35:I50)</f>
        <v>0</v>
      </c>
      <c r="J51" s="41">
        <f>SUM(J35:J50)</f>
        <v>748053.55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3393111.6500000004</v>
      </c>
      <c r="G52" s="41">
        <f>G51+G32</f>
        <v>62621</v>
      </c>
      <c r="H52" s="41">
        <f>H51+H32</f>
        <v>262686.68</v>
      </c>
      <c r="I52" s="41">
        <f>I51+I32</f>
        <v>0</v>
      </c>
      <c r="J52" s="41">
        <f>J51+J32</f>
        <v>748053.55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54854701-6982221</f>
        <v>47872480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47872480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107510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4005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43370</v>
      </c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20768.48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27407.99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203061.47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15297.16</v>
      </c>
      <c r="G96" s="18"/>
      <c r="H96" s="18"/>
      <c r="I96" s="18"/>
      <c r="J96" s="18">
        <v>2205.36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893019.98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21000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27605-8142.41</f>
        <v>19462.59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7799.23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63558.979999999996</v>
      </c>
      <c r="G111" s="41">
        <f>SUM(G96:G110)</f>
        <v>893019.98</v>
      </c>
      <c r="H111" s="41">
        <f>SUM(H96:H110)</f>
        <v>0</v>
      </c>
      <c r="I111" s="41">
        <f>SUM(I96:I110)</f>
        <v>0</v>
      </c>
      <c r="J111" s="41">
        <f>SUM(J96:J110)</f>
        <v>2205.36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48139100.449999996</v>
      </c>
      <c r="G112" s="41">
        <f>G60+G111</f>
        <v>893019.98</v>
      </c>
      <c r="H112" s="41">
        <f>H60+H79+H94+H111</f>
        <v>0</v>
      </c>
      <c r="I112" s="41">
        <f>I60+I111</f>
        <v>0</v>
      </c>
      <c r="J112" s="41">
        <f>J60+J111</f>
        <v>2205.36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7844583.3399999999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6982221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8142.41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14834946.75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423866.4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868151.1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10887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15650.1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f>51593.62-10887</f>
        <v>40706.620000000003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1343611.12</v>
      </c>
      <c r="G136" s="41">
        <f>SUM(G123:G135)</f>
        <v>15650.1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16178557.870000001</v>
      </c>
      <c r="G140" s="41">
        <f>G121+SUM(G136:G137)</f>
        <v>15650.1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454045.73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123898.44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273308.21999999997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842737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704732.82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704732.82</v>
      </c>
      <c r="G162" s="41">
        <f>SUM(G150:G161)</f>
        <v>273308.21999999997</v>
      </c>
      <c r="H162" s="41">
        <f>SUM(H150:H161)</f>
        <v>1420681.17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704732.82</v>
      </c>
      <c r="G169" s="41">
        <f>G147+G162+SUM(G163:G168)</f>
        <v>273308.21999999997</v>
      </c>
      <c r="H169" s="41">
        <f>H147+H162+SUM(H163:H168)</f>
        <v>1420681.17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95821.19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95821.19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95821.19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65022391.139999993</v>
      </c>
      <c r="G193" s="47">
        <f>G112+G140+G169+G192</f>
        <v>1181978.2999999998</v>
      </c>
      <c r="H193" s="47">
        <f>H112+H140+H169+H192</f>
        <v>1420681.17</v>
      </c>
      <c r="I193" s="47">
        <f>I112+I140+I169+I192</f>
        <v>0</v>
      </c>
      <c r="J193" s="47">
        <f>J112+J140+J192</f>
        <v>98026.55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6977891.2599999998</v>
      </c>
      <c r="G197" s="18">
        <v>4026169.0340023097</v>
      </c>
      <c r="H197" s="18">
        <v>82595.72</v>
      </c>
      <c r="I197" s="18">
        <v>284060.44</v>
      </c>
      <c r="J197" s="18">
        <v>121941.44</v>
      </c>
      <c r="K197" s="18">
        <v>0</v>
      </c>
      <c r="L197" s="19">
        <f>SUM(F197:K197)</f>
        <v>11492657.894002309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4090906.91</v>
      </c>
      <c r="G198" s="18">
        <v>2360409.772569037</v>
      </c>
      <c r="H198" s="18">
        <v>1503351.87</v>
      </c>
      <c r="I198" s="18">
        <v>21261.58</v>
      </c>
      <c r="J198" s="18">
        <v>0</v>
      </c>
      <c r="K198" s="18">
        <v>0</v>
      </c>
      <c r="L198" s="19">
        <f>SUM(F198:K198)</f>
        <v>7975930.1325690374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0</v>
      </c>
      <c r="G200" s="18"/>
      <c r="H200" s="18">
        <v>5499.5</v>
      </c>
      <c r="I200" s="18">
        <v>0</v>
      </c>
      <c r="J200" s="18">
        <v>0</v>
      </c>
      <c r="K200" s="18">
        <v>0</v>
      </c>
      <c r="L200" s="19">
        <f>SUM(F200:K200)</f>
        <v>5499.5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1411785.03</v>
      </c>
      <c r="G202" s="18">
        <v>814584.94531684939</v>
      </c>
      <c r="H202" s="18">
        <v>681375.55</v>
      </c>
      <c r="I202" s="18">
        <v>11848.55</v>
      </c>
      <c r="J202" s="18"/>
      <c r="K202" s="18">
        <v>0</v>
      </c>
      <c r="L202" s="19">
        <f t="shared" ref="L202:L208" si="0">SUM(F202:K202)</f>
        <v>2919594.0753168492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432885.7</v>
      </c>
      <c r="G203" s="18">
        <v>249770.44434516074</v>
      </c>
      <c r="H203" s="18">
        <v>4214.43</v>
      </c>
      <c r="I203" s="18">
        <v>121033.82</v>
      </c>
      <c r="J203" s="18">
        <v>6163.14</v>
      </c>
      <c r="K203" s="18">
        <v>1050</v>
      </c>
      <c r="L203" s="19">
        <f t="shared" si="0"/>
        <v>815117.53434516082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504763.29</v>
      </c>
      <c r="G204" s="18">
        <v>291243.04922159639</v>
      </c>
      <c r="H204" s="18">
        <v>249382.17</v>
      </c>
      <c r="I204" s="18">
        <v>15076.71</v>
      </c>
      <c r="J204" s="18">
        <v>17326.810000000001</v>
      </c>
      <c r="K204" s="18">
        <v>13543.4</v>
      </c>
      <c r="L204" s="19">
        <f t="shared" si="0"/>
        <v>1091335.4292215963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1111133.42</v>
      </c>
      <c r="G205" s="18">
        <v>641112.16434305429</v>
      </c>
      <c r="H205" s="18">
        <v>36613.480000000003</v>
      </c>
      <c r="I205" s="18">
        <v>5004.78</v>
      </c>
      <c r="J205" s="18">
        <v>0</v>
      </c>
      <c r="K205" s="18">
        <v>7458.44</v>
      </c>
      <c r="L205" s="19">
        <f t="shared" si="0"/>
        <v>1801322.2843430543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135112.57</v>
      </c>
      <c r="G206" s="18">
        <v>77958.515713308705</v>
      </c>
      <c r="H206" s="18">
        <v>70077.17</v>
      </c>
      <c r="I206" s="18">
        <v>0</v>
      </c>
      <c r="J206" s="18">
        <v>0</v>
      </c>
      <c r="K206" s="18">
        <v>4032.22</v>
      </c>
      <c r="L206" s="19">
        <f t="shared" si="0"/>
        <v>287180.47571330867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946458.24</v>
      </c>
      <c r="G207" s="18">
        <v>546096.33711378963</v>
      </c>
      <c r="H207" s="18">
        <v>409818.32</v>
      </c>
      <c r="I207" s="18">
        <v>486859.97</v>
      </c>
      <c r="J207" s="18">
        <v>5471.81</v>
      </c>
      <c r="K207" s="18">
        <v>0</v>
      </c>
      <c r="L207" s="19">
        <f t="shared" si="0"/>
        <v>2394704.6771137896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27640.98</v>
      </c>
      <c r="G208" s="18">
        <v>15948.551446110836</v>
      </c>
      <c r="H208" s="18">
        <v>1351554.98</v>
      </c>
      <c r="I208" s="18">
        <v>0</v>
      </c>
      <c r="J208" s="18">
        <v>0</v>
      </c>
      <c r="K208" s="18">
        <v>0</v>
      </c>
      <c r="L208" s="19">
        <f t="shared" si="0"/>
        <v>1395144.5114461109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51196.5</v>
      </c>
      <c r="G209" s="18">
        <v>29539.835928784487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80736.33592878448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15689773.899999999</v>
      </c>
      <c r="G211" s="41">
        <f t="shared" si="1"/>
        <v>9052832.6500000004</v>
      </c>
      <c r="H211" s="41">
        <f t="shared" si="1"/>
        <v>4394483.1899999995</v>
      </c>
      <c r="I211" s="41">
        <f t="shared" si="1"/>
        <v>945145.85000000009</v>
      </c>
      <c r="J211" s="41">
        <f t="shared" si="1"/>
        <v>150903.20000000001</v>
      </c>
      <c r="K211" s="41">
        <f t="shared" si="1"/>
        <v>26084.06</v>
      </c>
      <c r="L211" s="41">
        <f t="shared" si="1"/>
        <v>30259222.850000001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2575527.46</v>
      </c>
      <c r="G215" s="18">
        <v>1475625.1588459124</v>
      </c>
      <c r="H215" s="18">
        <v>10598.76</v>
      </c>
      <c r="I215" s="18">
        <v>78165.63</v>
      </c>
      <c r="J215" s="18">
        <v>39765.5</v>
      </c>
      <c r="K215" s="18">
        <v>0</v>
      </c>
      <c r="L215" s="19">
        <f>SUM(F215:K215)</f>
        <v>4179682.5088459123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1183021.77</v>
      </c>
      <c r="G216" s="18">
        <v>677801.62098307523</v>
      </c>
      <c r="H216" s="18">
        <v>810068.67</v>
      </c>
      <c r="I216" s="18">
        <v>875.35</v>
      </c>
      <c r="J216" s="18">
        <v>0</v>
      </c>
      <c r="K216" s="18">
        <v>0</v>
      </c>
      <c r="L216" s="19">
        <f>SUM(F216:K216)</f>
        <v>2671767.4109830754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>
        <v>0</v>
      </c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41885</v>
      </c>
      <c r="G218" s="18">
        <v>23997.631839755668</v>
      </c>
      <c r="H218" s="18">
        <v>8154</v>
      </c>
      <c r="I218" s="18">
        <v>7380.38</v>
      </c>
      <c r="J218" s="18">
        <v>0</v>
      </c>
      <c r="K218" s="18">
        <v>0</v>
      </c>
      <c r="L218" s="19">
        <f>SUM(F218:K218)</f>
        <v>81417.011839755665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324888.93</v>
      </c>
      <c r="G220" s="18">
        <v>186142.17335447413</v>
      </c>
      <c r="H220" s="18">
        <v>263849.2</v>
      </c>
      <c r="I220" s="18">
        <v>570.29</v>
      </c>
      <c r="J220" s="18">
        <v>0</v>
      </c>
      <c r="K220" s="18">
        <v>0</v>
      </c>
      <c r="L220" s="19">
        <f t="shared" ref="L220:L226" si="2">SUM(F220:K220)</f>
        <v>775450.59335447417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138523.42000000001</v>
      </c>
      <c r="G221" s="18">
        <v>79365.740344845341</v>
      </c>
      <c r="H221" s="18">
        <v>1348.62</v>
      </c>
      <c r="I221" s="18">
        <v>38730.82</v>
      </c>
      <c r="J221" s="18">
        <v>1972.2</v>
      </c>
      <c r="K221" s="18">
        <v>336</v>
      </c>
      <c r="L221" s="19">
        <f t="shared" si="2"/>
        <v>260276.80034484537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161524.25</v>
      </c>
      <c r="G222" s="18">
        <v>92543.857817659155</v>
      </c>
      <c r="H222" s="18">
        <v>79802.289999999994</v>
      </c>
      <c r="I222" s="18">
        <v>4824.55</v>
      </c>
      <c r="J222" s="18">
        <v>5544.58</v>
      </c>
      <c r="K222" s="18">
        <v>4333.8900000000003</v>
      </c>
      <c r="L222" s="19">
        <f t="shared" si="2"/>
        <v>348573.41781765915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258562.74</v>
      </c>
      <c r="G223" s="18">
        <v>148141.18281003856</v>
      </c>
      <c r="H223" s="18">
        <v>15095.48</v>
      </c>
      <c r="I223" s="18">
        <v>5192.7</v>
      </c>
      <c r="J223" s="18">
        <v>0</v>
      </c>
      <c r="K223" s="18">
        <v>2978</v>
      </c>
      <c r="L223" s="19">
        <f t="shared" si="2"/>
        <v>429970.10281003854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42808.2</v>
      </c>
      <c r="G224" s="18">
        <v>24526.570928079942</v>
      </c>
      <c r="H224" s="18">
        <v>22424.69</v>
      </c>
      <c r="I224" s="18">
        <v>0</v>
      </c>
      <c r="J224" s="18">
        <v>0</v>
      </c>
      <c r="K224" s="18">
        <v>1290.31</v>
      </c>
      <c r="L224" s="19">
        <f t="shared" si="2"/>
        <v>91049.770928079932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304234.43</v>
      </c>
      <c r="G225" s="18">
        <v>174308.36442922088</v>
      </c>
      <c r="H225" s="18">
        <v>130795.65</v>
      </c>
      <c r="I225" s="18">
        <v>211778.52</v>
      </c>
      <c r="J225" s="18">
        <v>1750.98</v>
      </c>
      <c r="K225" s="18">
        <v>0</v>
      </c>
      <c r="L225" s="19">
        <f t="shared" si="2"/>
        <v>822867.94442922086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8845.11</v>
      </c>
      <c r="G226" s="18">
        <v>5067.7257577209321</v>
      </c>
      <c r="H226" s="18">
        <v>506591.63</v>
      </c>
      <c r="I226" s="18">
        <v>0</v>
      </c>
      <c r="J226" s="18">
        <v>0</v>
      </c>
      <c r="K226" s="18">
        <v>0</v>
      </c>
      <c r="L226" s="19">
        <f t="shared" si="2"/>
        <v>520504.46575772093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16382.88</v>
      </c>
      <c r="G227" s="18">
        <v>9386.422889218009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25769.302889218008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5056204.1900000004</v>
      </c>
      <c r="G229" s="41">
        <f>SUM(G215:G228)</f>
        <v>2896906.45</v>
      </c>
      <c r="H229" s="41">
        <f>SUM(H215:H228)</f>
        <v>1848728.9900000002</v>
      </c>
      <c r="I229" s="41">
        <f>SUM(I215:I228)</f>
        <v>347518.24</v>
      </c>
      <c r="J229" s="41">
        <f>SUM(J215:J228)</f>
        <v>49033.26</v>
      </c>
      <c r="K229" s="41">
        <f t="shared" si="3"/>
        <v>8938.2000000000007</v>
      </c>
      <c r="L229" s="41">
        <f t="shared" si="3"/>
        <v>10207329.329999998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5368960.55+2866</f>
        <v>5371826.5499999998</v>
      </c>
      <c r="G233" s="18">
        <v>3244049.6305604777</v>
      </c>
      <c r="H233" s="18">
        <v>83206.73</v>
      </c>
      <c r="I233" s="18">
        <v>223138.18</v>
      </c>
      <c r="J233" s="18">
        <v>97876.36</v>
      </c>
      <c r="K233" s="18">
        <v>0</v>
      </c>
      <c r="L233" s="19">
        <f>SUM(F233:K233)</f>
        <v>9020097.4505604766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1990374.15</v>
      </c>
      <c r="G234" s="18">
        <v>1201988.2745440889</v>
      </c>
      <c r="H234" s="18">
        <v>2496327.34</v>
      </c>
      <c r="I234" s="18">
        <v>1860.12</v>
      </c>
      <c r="J234" s="18">
        <v>0</v>
      </c>
      <c r="K234" s="18">
        <v>0</v>
      </c>
      <c r="L234" s="19">
        <f>SUM(F234:K234)</f>
        <v>5690549.8845440885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>
        <v>0</v>
      </c>
      <c r="H235" s="18">
        <v>4154.92</v>
      </c>
      <c r="I235" s="18"/>
      <c r="J235" s="18"/>
      <c r="K235" s="18"/>
      <c r="L235" s="19">
        <f>SUM(F235:K235)</f>
        <v>4154.92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317235.40000000002</v>
      </c>
      <c r="G236" s="18">
        <v>191578.66930210276</v>
      </c>
      <c r="H236" s="18">
        <v>71954.539999999994</v>
      </c>
      <c r="I236" s="18">
        <v>88171.33</v>
      </c>
      <c r="J236" s="18">
        <v>13638.5</v>
      </c>
      <c r="K236" s="18">
        <v>17853</v>
      </c>
      <c r="L236" s="19">
        <f>SUM(F236:K236)</f>
        <v>700431.43930210278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701302.85-0.22</f>
        <v>701302.63</v>
      </c>
      <c r="G238" s="18">
        <v>423517.12524347834</v>
      </c>
      <c r="H238" s="18">
        <v>297878.77</v>
      </c>
      <c r="I238" s="18">
        <v>2545.46</v>
      </c>
      <c r="J238" s="18">
        <v>390.02</v>
      </c>
      <c r="K238" s="18">
        <v>0</v>
      </c>
      <c r="L238" s="19">
        <f t="shared" ref="L238:L244" si="4">SUM(F238:K238)</f>
        <v>1425634.0052434783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294362.27</v>
      </c>
      <c r="G239" s="18">
        <v>177765.57086424241</v>
      </c>
      <c r="H239" s="18"/>
      <c r="I239" s="18">
        <v>82302.990000000005</v>
      </c>
      <c r="J239" s="18">
        <v>4190.9399999999996</v>
      </c>
      <c r="K239" s="18">
        <v>714</v>
      </c>
      <c r="L239" s="19">
        <f t="shared" si="4"/>
        <v>559335.77086424234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343239.03</v>
      </c>
      <c r="G240" s="18">
        <v>207282.27877451424</v>
      </c>
      <c r="H240" s="18">
        <v>169579.88</v>
      </c>
      <c r="I240" s="18">
        <v>10252.16</v>
      </c>
      <c r="J240" s="18">
        <v>11782.23</v>
      </c>
      <c r="K240" s="18">
        <v>9209.51</v>
      </c>
      <c r="L240" s="19">
        <f t="shared" si="4"/>
        <v>751345.08877451427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495670.72</v>
      </c>
      <c r="G241" s="18">
        <v>299335.87786739803</v>
      </c>
      <c r="H241" s="18">
        <v>114423.62</v>
      </c>
      <c r="I241" s="18">
        <v>8363.4</v>
      </c>
      <c r="J241" s="18">
        <v>0</v>
      </c>
      <c r="K241" s="18">
        <v>35384.36</v>
      </c>
      <c r="L241" s="19">
        <f t="shared" si="4"/>
        <v>953177.97786739806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149302.31</v>
      </c>
      <c r="G242" s="18">
        <v>90163.764427078539</v>
      </c>
      <c r="H242" s="18">
        <v>47652.480000000003</v>
      </c>
      <c r="I242" s="18">
        <v>0</v>
      </c>
      <c r="J242" s="18">
        <v>0</v>
      </c>
      <c r="K242" s="18">
        <f>2741.91-0.64</f>
        <v>2741.27</v>
      </c>
      <c r="L242" s="19">
        <f t="shared" si="4"/>
        <v>289859.82442707854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476684.69</v>
      </c>
      <c r="G243" s="18">
        <v>287870.20170789695</v>
      </c>
      <c r="H243" s="18">
        <v>285848.14</v>
      </c>
      <c r="I243" s="18">
        <v>319853.39</v>
      </c>
      <c r="J243" s="18">
        <v>3720.83</v>
      </c>
      <c r="K243" s="18">
        <v>0</v>
      </c>
      <c r="L243" s="19">
        <f t="shared" si="4"/>
        <v>1373977.2517078971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18795.87</v>
      </c>
      <c r="G244" s="18">
        <v>11350.838408876543</v>
      </c>
      <c r="H244" s="18">
        <v>1353343.98</v>
      </c>
      <c r="I244" s="18">
        <v>0</v>
      </c>
      <c r="J244" s="18">
        <v>0</v>
      </c>
      <c r="K244" s="18">
        <v>0</v>
      </c>
      <c r="L244" s="19">
        <f t="shared" si="4"/>
        <v>1383490.6884088765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34813.620000000003</v>
      </c>
      <c r="G245" s="18">
        <v>21023.968299846332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55837.588299846335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10193607.239999998</v>
      </c>
      <c r="G247" s="41">
        <f t="shared" si="5"/>
        <v>6155926.2000000002</v>
      </c>
      <c r="H247" s="41">
        <f t="shared" si="5"/>
        <v>4924370.4000000004</v>
      </c>
      <c r="I247" s="41">
        <f t="shared" si="5"/>
        <v>736487.03</v>
      </c>
      <c r="J247" s="41">
        <f t="shared" si="5"/>
        <v>131598.88</v>
      </c>
      <c r="K247" s="41">
        <f t="shared" si="5"/>
        <v>65902.14</v>
      </c>
      <c r="L247" s="41">
        <f t="shared" si="5"/>
        <v>22207891.890000001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>
        <v>17971</v>
      </c>
      <c r="I251" s="18">
        <v>1675.3</v>
      </c>
      <c r="J251" s="18"/>
      <c r="K251" s="18"/>
      <c r="L251" s="19">
        <f t="shared" si="6"/>
        <v>19646.3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2866068.21</v>
      </c>
      <c r="I255" s="18"/>
      <c r="J255" s="18"/>
      <c r="K255" s="18"/>
      <c r="L255" s="19">
        <f t="shared" si="6"/>
        <v>2866068.21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2884039.21</v>
      </c>
      <c r="I256" s="41">
        <f t="shared" si="7"/>
        <v>1675.3</v>
      </c>
      <c r="J256" s="41">
        <f t="shared" si="7"/>
        <v>0</v>
      </c>
      <c r="K256" s="41">
        <f t="shared" si="7"/>
        <v>0</v>
      </c>
      <c r="L256" s="41">
        <f>SUM(F256:K256)</f>
        <v>2885714.51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30939585.329999998</v>
      </c>
      <c r="G257" s="41">
        <f t="shared" si="8"/>
        <v>18105665.300000001</v>
      </c>
      <c r="H257" s="41">
        <f t="shared" si="8"/>
        <v>14051621.789999999</v>
      </c>
      <c r="I257" s="41">
        <f t="shared" si="8"/>
        <v>2030826.4200000002</v>
      </c>
      <c r="J257" s="41">
        <f t="shared" si="8"/>
        <v>331535.34000000003</v>
      </c>
      <c r="K257" s="41">
        <f t="shared" si="8"/>
        <v>100924.4</v>
      </c>
      <c r="L257" s="41">
        <f t="shared" si="8"/>
        <v>65560158.579999998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1070000</v>
      </c>
      <c r="L260" s="19">
        <f>SUM(F260:K260)</f>
        <v>1070000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300270</v>
      </c>
      <c r="L261" s="19">
        <f>SUM(F261:K261)</f>
        <v>300270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f>20820.55+75000+0.64</f>
        <v>95821.19</v>
      </c>
      <c r="L266" s="19">
        <f t="shared" si="9"/>
        <v>95821.19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1466091.19</v>
      </c>
      <c r="L270" s="41">
        <f t="shared" si="9"/>
        <v>1466091.19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30939585.329999998</v>
      </c>
      <c r="G271" s="42">
        <f t="shared" si="11"/>
        <v>18105665.300000001</v>
      </c>
      <c r="H271" s="42">
        <f t="shared" si="11"/>
        <v>14051621.789999999</v>
      </c>
      <c r="I271" s="42">
        <f t="shared" si="11"/>
        <v>2030826.4200000002</v>
      </c>
      <c r="J271" s="42">
        <f t="shared" si="11"/>
        <v>331535.34000000003</v>
      </c>
      <c r="K271" s="42">
        <f t="shared" si="11"/>
        <v>1567015.5899999999</v>
      </c>
      <c r="L271" s="42">
        <f t="shared" si="11"/>
        <v>67026249.769999996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157984.67+46638+70428.8</f>
        <v>275051.47000000003</v>
      </c>
      <c r="G276" s="18"/>
      <c r="H276" s="18"/>
      <c r="I276" s="18">
        <f>3676.48+2597.61+9910.38+1202.36+14625+1850-367.83+650.96+1567.4</f>
        <v>35712.36</v>
      </c>
      <c r="J276" s="18">
        <f>249+5334+6363+1822.19</f>
        <v>13768.19</v>
      </c>
      <c r="K276" s="18"/>
      <c r="L276" s="19">
        <f>SUM(F276:K276)</f>
        <v>324532.02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111932.52</v>
      </c>
      <c r="G277" s="18"/>
      <c r="H277" s="18"/>
      <c r="I277" s="18"/>
      <c r="J277" s="18"/>
      <c r="K277" s="18"/>
      <c r="L277" s="19">
        <f>SUM(F277:K277)</f>
        <v>111932.52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f>590.62-145.2+21633.48+25000+147710.56+190202.98+49999.96+15819.47</f>
        <v>450811.87</v>
      </c>
      <c r="I281" s="18"/>
      <c r="J281" s="18"/>
      <c r="K281" s="18"/>
      <c r="L281" s="19">
        <f t="shared" ref="L281:L287" si="12">SUM(F281:K281)</f>
        <v>450811.87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f>3640.16+32904.38+600+9274.31+19046.69</f>
        <v>65465.539999999994</v>
      </c>
      <c r="I282" s="18"/>
      <c r="J282" s="18"/>
      <c r="K282" s="18"/>
      <c r="L282" s="19">
        <f t="shared" si="12"/>
        <v>65465.539999999994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f>53.83-4.8+215.59+33303.8</f>
        <v>33568.420000000006</v>
      </c>
      <c r="I287" s="18"/>
      <c r="J287" s="18"/>
      <c r="K287" s="18"/>
      <c r="L287" s="19">
        <f t="shared" si="12"/>
        <v>33568.420000000006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386983.99000000005</v>
      </c>
      <c r="G290" s="42">
        <f t="shared" si="13"/>
        <v>0</v>
      </c>
      <c r="H290" s="42">
        <f t="shared" si="13"/>
        <v>549845.82999999996</v>
      </c>
      <c r="I290" s="42">
        <f t="shared" si="13"/>
        <v>35712.36</v>
      </c>
      <c r="J290" s="42">
        <f t="shared" si="13"/>
        <v>13768.19</v>
      </c>
      <c r="K290" s="42">
        <f t="shared" si="13"/>
        <v>0</v>
      </c>
      <c r="L290" s="41">
        <f t="shared" si="13"/>
        <v>986310.37000000011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f>940.65+695.39+884+883.29</f>
        <v>3403.33</v>
      </c>
      <c r="I300" s="18"/>
      <c r="J300" s="18"/>
      <c r="K300" s="18"/>
      <c r="L300" s="19">
        <f t="shared" ref="L300:L306" si="14">SUM(F300:K300)</f>
        <v>3403.33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f>311.6+467.64+3011.86+5062+14026+24471.46+1000</f>
        <v>48350.559999999998</v>
      </c>
      <c r="I301" s="18">
        <f>68069.2+40406.74+13337.5+1210+50-5.28</f>
        <v>123068.16</v>
      </c>
      <c r="J301" s="18"/>
      <c r="K301" s="18"/>
      <c r="L301" s="19">
        <f t="shared" si="14"/>
        <v>171418.72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4"/>
      <c r="I302" s="4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4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>
        <f>13737.52+664.41</f>
        <v>14401.93</v>
      </c>
      <c r="I307" s="18"/>
      <c r="J307" s="18"/>
      <c r="K307" s="18"/>
      <c r="L307" s="19">
        <f>SUM(F307:K307)</f>
        <v>14401.93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66155.820000000007</v>
      </c>
      <c r="I309" s="42">
        <f t="shared" si="15"/>
        <v>123068.16</v>
      </c>
      <c r="J309" s="42">
        <f t="shared" si="15"/>
        <v>0</v>
      </c>
      <c r="K309" s="42">
        <f t="shared" si="15"/>
        <v>0</v>
      </c>
      <c r="L309" s="41">
        <f t="shared" si="15"/>
        <v>189223.97999999998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f>70000+70000</f>
        <v>140000</v>
      </c>
      <c r="I319" s="18"/>
      <c r="J319" s="18"/>
      <c r="K319" s="18"/>
      <c r="L319" s="19">
        <f t="shared" ref="L319:L325" si="16">SUM(F319:K319)</f>
        <v>140000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f>38108.89+2915.33+4963+25125+1556.24+101.76+10850+830.02+1700.2+12500+1000.52</f>
        <v>99650.96</v>
      </c>
      <c r="I320" s="18"/>
      <c r="J320" s="18"/>
      <c r="K320" s="18"/>
      <c r="L320" s="19">
        <f t="shared" si="16"/>
        <v>99650.96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>
        <v>3628.03</v>
      </c>
      <c r="I326" s="18"/>
      <c r="J326" s="18"/>
      <c r="K326" s="18"/>
      <c r="L326" s="19">
        <f>SUM(F326:K326)</f>
        <v>3628.03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243278.99000000002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243278.99000000002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386983.99000000005</v>
      </c>
      <c r="G338" s="41">
        <f t="shared" si="20"/>
        <v>0</v>
      </c>
      <c r="H338" s="41">
        <f t="shared" si="20"/>
        <v>859280.6399999999</v>
      </c>
      <c r="I338" s="41">
        <f t="shared" si="20"/>
        <v>158780.52000000002</v>
      </c>
      <c r="J338" s="41">
        <f t="shared" si="20"/>
        <v>13768.19</v>
      </c>
      <c r="K338" s="41">
        <f t="shared" si="20"/>
        <v>0</v>
      </c>
      <c r="L338" s="41">
        <f t="shared" si="20"/>
        <v>1418813.34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386983.99000000005</v>
      </c>
      <c r="G352" s="41">
        <f>G338</f>
        <v>0</v>
      </c>
      <c r="H352" s="41">
        <f>H338</f>
        <v>859280.6399999999</v>
      </c>
      <c r="I352" s="41">
        <f>I338</f>
        <v>158780.52000000002</v>
      </c>
      <c r="J352" s="41">
        <f>J338</f>
        <v>13768.19</v>
      </c>
      <c r="K352" s="47">
        <f>K338+K351</f>
        <v>0</v>
      </c>
      <c r="L352" s="41">
        <f>L338+L351</f>
        <v>1418813.34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265619.15000000002</v>
      </c>
      <c r="G358" s="18"/>
      <c r="H358" s="18">
        <v>11246.29</v>
      </c>
      <c r="I358" s="18">
        <f>287426.54+18967.4</f>
        <v>306393.94</v>
      </c>
      <c r="J358" s="18">
        <v>305.43</v>
      </c>
      <c r="K358" s="18">
        <v>2642.5</v>
      </c>
      <c r="L358" s="13">
        <f>SUM(F358:K358)</f>
        <v>586207.31000000006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106030.07</v>
      </c>
      <c r="G359" s="18"/>
      <c r="H359" s="18">
        <v>3598.81</v>
      </c>
      <c r="I359" s="18">
        <f>91976.49+18967.4</f>
        <v>110943.89000000001</v>
      </c>
      <c r="J359" s="18">
        <v>97.74</v>
      </c>
      <c r="K359" s="18">
        <v>845.6</v>
      </c>
      <c r="L359" s="19">
        <f>SUM(F359:K359)</f>
        <v>221516.11000000002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228763.24</v>
      </c>
      <c r="G360" s="18"/>
      <c r="H360" s="18">
        <v>7647.48</v>
      </c>
      <c r="I360" s="18">
        <f>195450.04+18967.4</f>
        <v>214417.44</v>
      </c>
      <c r="J360" s="18">
        <v>207.69</v>
      </c>
      <c r="K360" s="18">
        <v>1796.9</v>
      </c>
      <c r="L360" s="19">
        <f>SUM(F360:K360)</f>
        <v>452832.75000000006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600412.46</v>
      </c>
      <c r="G362" s="47">
        <f t="shared" si="22"/>
        <v>0</v>
      </c>
      <c r="H362" s="47">
        <f t="shared" si="22"/>
        <v>22492.58</v>
      </c>
      <c r="I362" s="47">
        <f t="shared" si="22"/>
        <v>631755.27</v>
      </c>
      <c r="J362" s="47">
        <f t="shared" si="22"/>
        <v>610.86</v>
      </c>
      <c r="K362" s="47">
        <f t="shared" si="22"/>
        <v>5285</v>
      </c>
      <c r="L362" s="47">
        <f t="shared" si="22"/>
        <v>1260556.1700000002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257111.16+18967.4</f>
        <v>276078.56</v>
      </c>
      <c r="G367" s="18">
        <f>82275.57+18967.4</f>
        <v>101242.97</v>
      </c>
      <c r="H367" s="18">
        <f>174835.59+18967.4</f>
        <v>193802.99</v>
      </c>
      <c r="I367" s="56">
        <f>SUM(F367:H367)</f>
        <v>571124.52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30315.38</v>
      </c>
      <c r="G368" s="63">
        <v>9700.92</v>
      </c>
      <c r="H368" s="63">
        <v>20614.45</v>
      </c>
      <c r="I368" s="56">
        <f>SUM(F368:H368)</f>
        <v>60630.75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306393.94</v>
      </c>
      <c r="G369" s="47">
        <f>SUM(G367:G368)</f>
        <v>110943.89</v>
      </c>
      <c r="H369" s="47">
        <f>SUM(H367:H368)</f>
        <v>214417.44</v>
      </c>
      <c r="I369" s="47">
        <f>SUM(I367:I368)</f>
        <v>631755.27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f>75000+20821.19</f>
        <v>95821.19</v>
      </c>
      <c r="H396" s="18"/>
      <c r="I396" s="18"/>
      <c r="J396" s="24" t="s">
        <v>288</v>
      </c>
      <c r="K396" s="24" t="s">
        <v>288</v>
      </c>
      <c r="L396" s="56">
        <f t="shared" si="26"/>
        <v>95821.19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2205.36</v>
      </c>
      <c r="I397" s="18"/>
      <c r="J397" s="24" t="s">
        <v>288</v>
      </c>
      <c r="K397" s="24" t="s">
        <v>288</v>
      </c>
      <c r="L397" s="56">
        <f t="shared" si="26"/>
        <v>2205.36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95821.19</v>
      </c>
      <c r="H401" s="47">
        <f>SUM(H395:H400)</f>
        <v>2205.36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98026.55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95821.19</v>
      </c>
      <c r="H408" s="47">
        <f>H393+H401+H407</f>
        <v>2205.36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98026.55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748053.55</v>
      </c>
      <c r="G442" s="18"/>
      <c r="H442" s="18"/>
      <c r="I442" s="56">
        <f t="shared" si="33"/>
        <v>748053.55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748053.55</v>
      </c>
      <c r="G446" s="13">
        <f>SUM(G439:G445)</f>
        <v>0</v>
      </c>
      <c r="H446" s="13">
        <f>SUM(H439:H445)</f>
        <v>0</v>
      </c>
      <c r="I446" s="13">
        <f>SUM(I439:I445)</f>
        <v>748053.55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748053.55</v>
      </c>
      <c r="G459" s="18"/>
      <c r="H459" s="18"/>
      <c r="I459" s="56">
        <f t="shared" si="34"/>
        <v>748053.55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748053.55</v>
      </c>
      <c r="G460" s="83">
        <f>SUM(G454:G459)</f>
        <v>0</v>
      </c>
      <c r="H460" s="83">
        <f>SUM(H454:H459)</f>
        <v>0</v>
      </c>
      <c r="I460" s="83">
        <f>SUM(I454:I459)</f>
        <v>748053.55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748053.55</v>
      </c>
      <c r="G461" s="42">
        <f>G452+G460</f>
        <v>0</v>
      </c>
      <c r="H461" s="42">
        <f>H452+H460</f>
        <v>0</v>
      </c>
      <c r="I461" s="42">
        <f>I452+I460</f>
        <v>748053.55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5340249.54</v>
      </c>
      <c r="G465" s="18">
        <f>110857-0.13</f>
        <v>110856.87</v>
      </c>
      <c r="H465" s="18">
        <v>-1867.83</v>
      </c>
      <c r="I465" s="18"/>
      <c r="J465" s="18">
        <v>650027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65022391.140000001</v>
      </c>
      <c r="G468" s="18">
        <v>1181978.3</v>
      </c>
      <c r="H468" s="18">
        <v>1420681.17</v>
      </c>
      <c r="I468" s="18"/>
      <c r="J468" s="18">
        <v>98026.55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65022391.140000001</v>
      </c>
      <c r="G470" s="53">
        <f>SUM(G468:G469)</f>
        <v>1181978.3</v>
      </c>
      <c r="H470" s="53">
        <f>SUM(H468:H469)</f>
        <v>1420681.17</v>
      </c>
      <c r="I470" s="53">
        <f>SUM(I468:I469)</f>
        <v>0</v>
      </c>
      <c r="J470" s="53">
        <f>SUM(J468:J469)</f>
        <v>98026.55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67026249.770000003</v>
      </c>
      <c r="G472" s="18">
        <v>1260556.17</v>
      </c>
      <c r="H472" s="18">
        <v>1418813.34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67026249.770000003</v>
      </c>
      <c r="G474" s="53">
        <f>SUM(G472:G473)</f>
        <v>1260556.17</v>
      </c>
      <c r="H474" s="53">
        <f>SUM(H472:H473)</f>
        <v>1418813.34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3336390.9100000039</v>
      </c>
      <c r="G476" s="53">
        <f>(G465+G470)- G474</f>
        <v>32279</v>
      </c>
      <c r="H476" s="53">
        <f>(H465+H470)- H474</f>
        <v>0</v>
      </c>
      <c r="I476" s="53">
        <f>(I465+I470)- I474</f>
        <v>0</v>
      </c>
      <c r="J476" s="53">
        <f>(J465+J470)- J474</f>
        <v>748053.55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>
        <v>12</v>
      </c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915</v>
      </c>
      <c r="H491" s="154" t="s">
        <v>917</v>
      </c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916</v>
      </c>
      <c r="H492" s="154" t="s">
        <v>918</v>
      </c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5915851</v>
      </c>
      <c r="G493" s="18">
        <v>15525000</v>
      </c>
      <c r="H493" s="18">
        <v>3675816</v>
      </c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5.31</v>
      </c>
      <c r="G494" s="18">
        <v>3.52</v>
      </c>
      <c r="H494" s="18">
        <v>4.4800000000000004</v>
      </c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1535000</v>
      </c>
      <c r="G495" s="18">
        <v>6200000</v>
      </c>
      <c r="H495" s="18">
        <v>1713618</v>
      </c>
      <c r="I495" s="18"/>
      <c r="J495" s="18"/>
      <c r="K495" s="53">
        <f>SUM(F495:J495)</f>
        <v>9448618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295000</v>
      </c>
      <c r="G497" s="18">
        <v>775000</v>
      </c>
      <c r="H497" s="18">
        <v>245382</v>
      </c>
      <c r="I497" s="18"/>
      <c r="J497" s="18"/>
      <c r="K497" s="53">
        <f t="shared" si="35"/>
        <v>1315382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1535000-295000</f>
        <v>1240000</v>
      </c>
      <c r="G498" s="204">
        <f>6200000-775000</f>
        <v>5425000</v>
      </c>
      <c r="H498" s="204">
        <f>1713618-245382</f>
        <v>1468236</v>
      </c>
      <c r="I498" s="204"/>
      <c r="J498" s="204"/>
      <c r="K498" s="205">
        <f t="shared" si="35"/>
        <v>8133236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132223-72573</f>
        <v>59650</v>
      </c>
      <c r="G499" s="18">
        <f>1100500-267375</f>
        <v>833125</v>
      </c>
      <c r="H499" s="18">
        <f>167641-71354</f>
        <v>96287</v>
      </c>
      <c r="I499" s="18"/>
      <c r="J499" s="18"/>
      <c r="K499" s="53">
        <f t="shared" si="35"/>
        <v>989062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1299650</v>
      </c>
      <c r="G500" s="42">
        <f>SUM(G498:G499)</f>
        <v>6258125</v>
      </c>
      <c r="H500" s="42">
        <f>SUM(H498:H499)</f>
        <v>1564523</v>
      </c>
      <c r="I500" s="42">
        <f>SUM(I498:I499)</f>
        <v>0</v>
      </c>
      <c r="J500" s="42">
        <f>SUM(J498:J499)</f>
        <v>0</v>
      </c>
      <c r="K500" s="42">
        <f t="shared" si="35"/>
        <v>9122298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295000</v>
      </c>
      <c r="G501" s="204">
        <v>775000</v>
      </c>
      <c r="H501" s="204">
        <v>245382</v>
      </c>
      <c r="I501" s="204"/>
      <c r="J501" s="204"/>
      <c r="K501" s="205">
        <f t="shared" si="35"/>
        <v>1315382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59640</v>
      </c>
      <c r="G502" s="18">
        <v>228625</v>
      </c>
      <c r="H502" s="18">
        <v>57535</v>
      </c>
      <c r="I502" s="18"/>
      <c r="J502" s="18"/>
      <c r="K502" s="53">
        <f t="shared" si="35"/>
        <v>345800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354640</v>
      </c>
      <c r="G503" s="42">
        <f>SUM(G501:G502)</f>
        <v>1003625</v>
      </c>
      <c r="H503" s="42">
        <f>SUM(H501:H502)</f>
        <v>302917</v>
      </c>
      <c r="I503" s="42">
        <f>SUM(I501:I502)</f>
        <v>0</v>
      </c>
      <c r="J503" s="42">
        <f>SUM(J501:J502)</f>
        <v>0</v>
      </c>
      <c r="K503" s="42">
        <f t="shared" si="35"/>
        <v>1661182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4090906.91+111932.52</f>
        <v>4202839.43</v>
      </c>
      <c r="G521" s="18">
        <v>2360409.772569037</v>
      </c>
      <c r="H521" s="18">
        <v>1503351.87</v>
      </c>
      <c r="I521" s="18">
        <v>21261.58</v>
      </c>
      <c r="J521" s="18">
        <v>0</v>
      </c>
      <c r="K521" s="18">
        <v>0</v>
      </c>
      <c r="L521" s="88">
        <f>SUM(F521:K521)</f>
        <v>8087862.6525690369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1183021.77</v>
      </c>
      <c r="G522" s="18">
        <v>677801.62098307523</v>
      </c>
      <c r="H522" s="18">
        <v>810068.67</v>
      </c>
      <c r="I522" s="18">
        <v>875.35</v>
      </c>
      <c r="J522" s="18">
        <v>0</v>
      </c>
      <c r="K522" s="18">
        <v>0</v>
      </c>
      <c r="L522" s="88">
        <f>SUM(F522:K522)</f>
        <v>2671767.4109830754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1990374.15</v>
      </c>
      <c r="G523" s="18">
        <v>1201988.2745440889</v>
      </c>
      <c r="H523" s="18">
        <v>2496327.34</v>
      </c>
      <c r="I523" s="18">
        <v>1860.12</v>
      </c>
      <c r="J523" s="18">
        <v>0</v>
      </c>
      <c r="K523" s="18">
        <v>0</v>
      </c>
      <c r="L523" s="88">
        <f>SUM(F523:K523)</f>
        <v>5690549.8845440885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7376235.3499999996</v>
      </c>
      <c r="G524" s="108">
        <f t="shared" ref="G524:L524" si="36">SUM(G521:G523)</f>
        <v>4240199.6680962015</v>
      </c>
      <c r="H524" s="108">
        <f t="shared" si="36"/>
        <v>4809747.88</v>
      </c>
      <c r="I524" s="108">
        <f t="shared" si="36"/>
        <v>23997.05</v>
      </c>
      <c r="J524" s="108">
        <f t="shared" si="36"/>
        <v>0</v>
      </c>
      <c r="K524" s="108">
        <f t="shared" si="36"/>
        <v>0</v>
      </c>
      <c r="L524" s="89">
        <f t="shared" si="36"/>
        <v>16450179.948096201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1470224.3586999997</v>
      </c>
      <c r="I526" s="4"/>
      <c r="J526" s="4"/>
      <c r="K526" s="18"/>
      <c r="L526" s="88">
        <f>SUM(F526:K526)</f>
        <v>1470224.3586999997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470943.95420000004</v>
      </c>
      <c r="I527" s="18"/>
      <c r="J527" s="18"/>
      <c r="K527" s="18"/>
      <c r="L527" s="88">
        <f>SUM(F527:K527)</f>
        <v>470943.95420000004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353541.22730000003</v>
      </c>
      <c r="I528" s="18"/>
      <c r="J528" s="18"/>
      <c r="K528" s="18"/>
      <c r="L528" s="88">
        <f>SUM(F528:K528)</f>
        <v>353541.22730000003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>SUM(H526:H528)</f>
        <v>2294709.5401999997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2294709.5401999997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80848.657260000007</v>
      </c>
      <c r="G531" s="18">
        <v>24526.12</v>
      </c>
      <c r="H531" s="18"/>
      <c r="I531" s="18"/>
      <c r="J531" s="18"/>
      <c r="K531" s="18"/>
      <c r="L531" s="88">
        <f>SUM(F531:K531)</f>
        <v>105374.77726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44915.920700000002</v>
      </c>
      <c r="G532" s="18">
        <v>13225.23</v>
      </c>
      <c r="H532" s="18"/>
      <c r="I532" s="18"/>
      <c r="J532" s="18"/>
      <c r="K532" s="18"/>
      <c r="L532" s="88">
        <f>SUM(F532:K532)</f>
        <v>58141.150699999998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53899.10484</v>
      </c>
      <c r="G533" s="18">
        <v>22125.23</v>
      </c>
      <c r="H533" s="18"/>
      <c r="I533" s="18"/>
      <c r="J533" s="18"/>
      <c r="K533" s="18"/>
      <c r="L533" s="88">
        <f>SUM(F533:K533)</f>
        <v>76024.334839999996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179663.68280000001</v>
      </c>
      <c r="G534" s="89">
        <f t="shared" ref="G534:L534" si="38">SUM(G531:G533)</f>
        <v>59876.58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239540.2628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5240.2299999999996</v>
      </c>
      <c r="I536" s="18"/>
      <c r="J536" s="18"/>
      <c r="K536" s="18"/>
      <c r="L536" s="88">
        <f>SUM(F536:K536)</f>
        <v>5240.2299999999996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1152.32</v>
      </c>
      <c r="I537" s="18"/>
      <c r="J537" s="18"/>
      <c r="K537" s="18"/>
      <c r="L537" s="88">
        <f>SUM(F537:K537)</f>
        <v>1152.32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4562.33</v>
      </c>
      <c r="I538" s="18"/>
      <c r="J538" s="18"/>
      <c r="K538" s="18"/>
      <c r="L538" s="88">
        <f>SUM(F538:K538)</f>
        <v>4562.33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10954.88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10954.88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4"/>
      <c r="G541" s="4"/>
      <c r="H541" s="18">
        <v>302164.97000000003</v>
      </c>
      <c r="I541" s="4"/>
      <c r="J541" s="18"/>
      <c r="K541" s="18"/>
      <c r="L541" s="88">
        <f>SUM(G541:K541)</f>
        <v>302164.97000000003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165091.95000000001</v>
      </c>
      <c r="I542" s="18"/>
      <c r="J542" s="18"/>
      <c r="K542" s="18"/>
      <c r="L542" s="88">
        <f>SUM(F542:K542)</f>
        <v>165091.95000000001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382501.52999999997</v>
      </c>
      <c r="I543" s="18"/>
      <c r="J543" s="18"/>
      <c r="K543" s="18"/>
      <c r="L543" s="88">
        <f>SUM(F543:K543)</f>
        <v>382501.52999999997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>SUM(H541:H543)</f>
        <v>849758.45</v>
      </c>
      <c r="I544" s="193">
        <f>SUM(I541:I543)</f>
        <v>0</v>
      </c>
      <c r="J544" s="193">
        <f t="shared" si="40"/>
        <v>0</v>
      </c>
      <c r="K544" s="193">
        <f t="shared" si="40"/>
        <v>0</v>
      </c>
      <c r="L544" s="193">
        <f t="shared" si="40"/>
        <v>849758.45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7555899.0327999992</v>
      </c>
      <c r="G545" s="89">
        <f t="shared" ref="G545:L545" si="41">G524+G529+G534+G539+G544</f>
        <v>4300076.2480962016</v>
      </c>
      <c r="H545" s="89">
        <f t="shared" si="41"/>
        <v>7965170.7501999997</v>
      </c>
      <c r="I545" s="89">
        <f t="shared" si="41"/>
        <v>23997.05</v>
      </c>
      <c r="J545" s="89">
        <f t="shared" si="41"/>
        <v>0</v>
      </c>
      <c r="K545" s="89">
        <f t="shared" si="41"/>
        <v>0</v>
      </c>
      <c r="L545" s="89">
        <f t="shared" si="41"/>
        <v>19845143.081096198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8087862.6525690369</v>
      </c>
      <c r="G549" s="87">
        <f>L526</f>
        <v>1470224.3586999997</v>
      </c>
      <c r="H549" s="87">
        <f>L531</f>
        <v>105374.77726</v>
      </c>
      <c r="I549" s="87">
        <f>L536</f>
        <v>5240.2299999999996</v>
      </c>
      <c r="J549" s="87">
        <f>L541</f>
        <v>302164.97000000003</v>
      </c>
      <c r="K549" s="87">
        <f>SUM(F549:J549)</f>
        <v>9970866.9885290377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2671767.4109830754</v>
      </c>
      <c r="G550" s="87">
        <f>L527</f>
        <v>470943.95420000004</v>
      </c>
      <c r="H550" s="87">
        <f>L532</f>
        <v>58141.150699999998</v>
      </c>
      <c r="I550" s="87">
        <f>L537</f>
        <v>1152.32</v>
      </c>
      <c r="J550" s="87">
        <f>L542</f>
        <v>165091.95000000001</v>
      </c>
      <c r="K550" s="87">
        <f>SUM(F550:J550)</f>
        <v>3367096.7858830756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5690549.8845440885</v>
      </c>
      <c r="G551" s="87">
        <f>L528</f>
        <v>353541.22730000003</v>
      </c>
      <c r="H551" s="87">
        <f>L533</f>
        <v>76024.334839999996</v>
      </c>
      <c r="I551" s="87">
        <f>L538</f>
        <v>4562.33</v>
      </c>
      <c r="J551" s="87">
        <f>L543</f>
        <v>382501.52999999997</v>
      </c>
      <c r="K551" s="87">
        <f>SUM(F551:J551)</f>
        <v>6507179.3066840889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16450179.948096201</v>
      </c>
      <c r="G552" s="89">
        <f t="shared" si="42"/>
        <v>2294709.5401999997</v>
      </c>
      <c r="H552" s="89">
        <f t="shared" si="42"/>
        <v>239540.2628</v>
      </c>
      <c r="I552" s="89">
        <f t="shared" si="42"/>
        <v>10954.88</v>
      </c>
      <c r="J552" s="89">
        <f t="shared" si="42"/>
        <v>849758.45</v>
      </c>
      <c r="K552" s="89">
        <f t="shared" si="42"/>
        <v>19845143.081096202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191594</v>
      </c>
      <c r="G567" s="18"/>
      <c r="H567" s="18">
        <v>3862.62</v>
      </c>
      <c r="I567" s="18"/>
      <c r="J567" s="18"/>
      <c r="K567" s="18"/>
      <c r="L567" s="88">
        <f>SUM(F567:K567)</f>
        <v>195456.62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89123.23</v>
      </c>
      <c r="G568" s="18"/>
      <c r="H568" s="18">
        <v>4391.09</v>
      </c>
      <c r="I568" s="18"/>
      <c r="J568" s="18"/>
      <c r="K568" s="18"/>
      <c r="L568" s="88">
        <f>SUM(F568:K568)</f>
        <v>93514.319999999992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>
        <v>35225.230000000003</v>
      </c>
      <c r="G569" s="18"/>
      <c r="H569" s="18">
        <v>11893.89</v>
      </c>
      <c r="I569" s="18"/>
      <c r="J569" s="18"/>
      <c r="K569" s="18"/>
      <c r="L569" s="88">
        <f>SUM(F569:K569)</f>
        <v>47119.12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315942.45999999996</v>
      </c>
      <c r="G570" s="193">
        <f t="shared" ref="G570:L570" si="45">SUM(G567:G569)</f>
        <v>0</v>
      </c>
      <c r="H570" s="193">
        <f t="shared" si="45"/>
        <v>20147.599999999999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336090.06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315942.45999999996</v>
      </c>
      <c r="G571" s="89">
        <f t="shared" ref="G571:L571" si="46">G560+G565+G570</f>
        <v>0</v>
      </c>
      <c r="H571" s="89">
        <f t="shared" si="46"/>
        <v>20147.599999999999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336090.06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ref="I577:I587" si="47">SUM(F577:H577)</f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>SUM(F579:H579)</f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>SUM(F580:H580)</f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565192.89+442541.48</f>
        <v>1007734.37</v>
      </c>
      <c r="G582" s="18">
        <f>481732.66+169050.93</f>
        <v>650783.59</v>
      </c>
      <c r="H582" s="18">
        <f>1264588.1+885452.03</f>
        <v>2150040.13</v>
      </c>
      <c r="I582" s="87">
        <f t="shared" si="47"/>
        <v>3808558.09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4154.92</v>
      </c>
      <c r="I584" s="87">
        <f t="shared" si="47"/>
        <v>4154.92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1379195.96+15948.55-302164.97-27654.2</f>
        <v>1065325.3400000001</v>
      </c>
      <c r="I591" s="18">
        <f>515436.74+5067.73-165091.95-13419.44-1901.87</f>
        <v>340091.20999999996</v>
      </c>
      <c r="J591" s="18">
        <f>1372139.85+11350.84-382501.53-140863.89-84300.1-52549.43</f>
        <v>723275.74000000011</v>
      </c>
      <c r="K591" s="104">
        <f t="shared" ref="K591:K597" si="48">SUM(H591:J591)</f>
        <v>2128692.29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302164.97000000003</v>
      </c>
      <c r="I592" s="18">
        <v>165091.95000000001</v>
      </c>
      <c r="J592" s="18">
        <v>382501.52999999997</v>
      </c>
      <c r="K592" s="104">
        <f t="shared" si="48"/>
        <v>849758.45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140863.89000000001</v>
      </c>
      <c r="K593" s="104">
        <f t="shared" si="48"/>
        <v>140863.89000000001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13419.44</v>
      </c>
      <c r="J594" s="18">
        <v>84300.1</v>
      </c>
      <c r="K594" s="104">
        <f t="shared" si="48"/>
        <v>97719.540000000008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27654.2</v>
      </c>
      <c r="I595" s="18">
        <v>1901.8700000000001</v>
      </c>
      <c r="J595" s="18">
        <v>52549.43</v>
      </c>
      <c r="K595" s="104">
        <f t="shared" si="48"/>
        <v>82105.5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1395144.51</v>
      </c>
      <c r="I598" s="108">
        <f>SUM(I591:I597)</f>
        <v>520504.47</v>
      </c>
      <c r="J598" s="108">
        <f>SUM(J591:J597)</f>
        <v>1383490.6900000002</v>
      </c>
      <c r="K598" s="108">
        <f>SUM(K591:K597)</f>
        <v>3299139.6700000004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150903.2+13768.19</f>
        <v>164671.39000000001</v>
      </c>
      <c r="I604" s="18">
        <v>49033.26</v>
      </c>
      <c r="J604" s="18">
        <v>131598.88</v>
      </c>
      <c r="K604" s="104">
        <f>SUM(H604:J604)</f>
        <v>345303.53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164671.39000000001</v>
      </c>
      <c r="I605" s="108">
        <f>SUM(I602:I604)</f>
        <v>49033.26</v>
      </c>
      <c r="J605" s="108">
        <f>SUM(J602:J604)</f>
        <v>131598.88</v>
      </c>
      <c r="K605" s="108">
        <f>SUM(K602:K604)</f>
        <v>345303.53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3393111.65</v>
      </c>
      <c r="H617" s="109">
        <f>SUM(F52)</f>
        <v>3393111.6500000004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62621</v>
      </c>
      <c r="H618" s="109">
        <f>SUM(G52)</f>
        <v>62621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262686.68</v>
      </c>
      <c r="H619" s="109">
        <f>SUM(H52)</f>
        <v>262686.68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748053.55</v>
      </c>
      <c r="H621" s="109">
        <f>SUM(J52)</f>
        <v>748053.55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3336390.91</v>
      </c>
      <c r="H622" s="109">
        <f>F476</f>
        <v>3336390.9100000039</v>
      </c>
      <c r="I622" s="121" t="s">
        <v>101</v>
      </c>
      <c r="J622" s="109">
        <f t="shared" ref="J622:J655" si="50">G622-H622</f>
        <v>-3.7252902984619141E-9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32279</v>
      </c>
      <c r="H623" s="109">
        <f>G476</f>
        <v>32279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748053.55</v>
      </c>
      <c r="H626" s="109">
        <f>J476</f>
        <v>748053.55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65022391.139999993</v>
      </c>
      <c r="H627" s="104">
        <f>SUM(F468)</f>
        <v>65022391.140000001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1181978.2999999998</v>
      </c>
      <c r="H628" s="104">
        <f>SUM(G468)</f>
        <v>1181978.3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1420681.17</v>
      </c>
      <c r="H629" s="104">
        <f>SUM(H468)</f>
        <v>1420681.17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98026.55</v>
      </c>
      <c r="H631" s="104">
        <f>SUM(J468)</f>
        <v>98026.55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67026249.769999996</v>
      </c>
      <c r="H632" s="104">
        <f>SUM(F472)</f>
        <v>67026249.770000003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1418813.34</v>
      </c>
      <c r="H633" s="104">
        <f>SUM(H472)</f>
        <v>1418813.34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631755.27</v>
      </c>
      <c r="H634" s="104">
        <f>I369</f>
        <v>631755.27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1260556.1700000002</v>
      </c>
      <c r="H635" s="104">
        <f>SUM(G472)</f>
        <v>1260556.17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98026.55</v>
      </c>
      <c r="H637" s="164">
        <f>SUM(J468)</f>
        <v>98026.55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748053.55</v>
      </c>
      <c r="H639" s="104">
        <f>SUM(F461)</f>
        <v>748053.55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748053.55</v>
      </c>
      <c r="H642" s="104">
        <f>SUM(I461)</f>
        <v>748053.55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2205.36</v>
      </c>
      <c r="H644" s="104">
        <f>H408</f>
        <v>2205.36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95821.19</v>
      </c>
      <c r="H645" s="104">
        <f>G408</f>
        <v>95821.19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98026.55</v>
      </c>
      <c r="H646" s="104">
        <f>L408</f>
        <v>98026.55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3299139.6700000004</v>
      </c>
      <c r="H647" s="104">
        <f>L208+L226+L244</f>
        <v>3299139.6656127083</v>
      </c>
      <c r="I647" s="140" t="s">
        <v>396</v>
      </c>
      <c r="J647" s="109">
        <f t="shared" si="50"/>
        <v>4.3872920796275139E-3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345303.53</v>
      </c>
      <c r="H648" s="104">
        <f>(J257+J338)-(J255+J336)</f>
        <v>345303.53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1395144.5114461109</v>
      </c>
      <c r="H649" s="104">
        <f>H598</f>
        <v>1395144.51</v>
      </c>
      <c r="I649" s="140" t="s">
        <v>388</v>
      </c>
      <c r="J649" s="109">
        <f t="shared" si="50"/>
        <v>1.4461108949035406E-3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520504.46575772093</v>
      </c>
      <c r="H650" s="104">
        <f>I598</f>
        <v>520504.47</v>
      </c>
      <c r="I650" s="140" t="s">
        <v>389</v>
      </c>
      <c r="J650" s="109">
        <f t="shared" si="50"/>
        <v>-4.242279042955488E-3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1383490.6884088765</v>
      </c>
      <c r="H651" s="104">
        <f>J598</f>
        <v>1383490.6900000002</v>
      </c>
      <c r="I651" s="140" t="s">
        <v>390</v>
      </c>
      <c r="J651" s="109">
        <f t="shared" si="50"/>
        <v>-1.591123640537262E-3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95821.19</v>
      </c>
      <c r="H655" s="104">
        <f>K266+K347</f>
        <v>95821.19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31831740.530000001</v>
      </c>
      <c r="G660" s="19">
        <f>(L229+L309+L359)</f>
        <v>10618069.419999998</v>
      </c>
      <c r="H660" s="19">
        <f>(L247+L328+L360)</f>
        <v>22904003.629999999</v>
      </c>
      <c r="I660" s="19">
        <f>SUM(F660:H660)</f>
        <v>65353813.579999998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415288.78499087732</v>
      </c>
      <c r="G661" s="19">
        <f>(L359/IF(SUM(L358:L360)=0,1,SUM(L358:L360))*(SUM(G97:G110)))</f>
        <v>156929.39103370364</v>
      </c>
      <c r="H661" s="19">
        <f>(L360/IF(SUM(L358:L360)=0,1,SUM(L358:L360))*(SUM(G97:G110)))</f>
        <v>320801.80397541902</v>
      </c>
      <c r="I661" s="19">
        <f>SUM(F661:H661)</f>
        <v>893019.98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1428712.9314461108</v>
      </c>
      <c r="G662" s="19">
        <f>(L226+L306)-(J226+J306)</f>
        <v>520504.46575772093</v>
      </c>
      <c r="H662" s="19">
        <f>(L244+L325)-(J244+J325)</f>
        <v>1383490.6884088765</v>
      </c>
      <c r="I662" s="19">
        <f>SUM(F662:H662)</f>
        <v>3332708.0856127082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1172405.76</v>
      </c>
      <c r="G663" s="199">
        <f>SUM(G575:G587)+SUM(I602:I604)+L612</f>
        <v>699816.85</v>
      </c>
      <c r="H663" s="199">
        <f>SUM(H575:H587)+SUM(J602:J604)+L613</f>
        <v>2285793.9299999997</v>
      </c>
      <c r="I663" s="19">
        <f>SUM(F663:H663)</f>
        <v>4158016.5399999996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28815333.053563014</v>
      </c>
      <c r="G664" s="19">
        <f>G660-SUM(G661:G663)</f>
        <v>9240818.7132085729</v>
      </c>
      <c r="H664" s="19">
        <f>H660-SUM(H661:H663)</f>
        <v>18913917.207615703</v>
      </c>
      <c r="I664" s="19">
        <f>I660-SUM(I661:I663)</f>
        <v>56970068.974387288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1768.26</v>
      </c>
      <c r="G665" s="248">
        <v>598.65</v>
      </c>
      <c r="H665" s="248">
        <v>1173.74</v>
      </c>
      <c r="I665" s="19">
        <f>SUM(F665:H665)</f>
        <v>3540.6499999999996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16295.87</v>
      </c>
      <c r="G667" s="19">
        <f>ROUND(G664/G665,2)</f>
        <v>15436.1</v>
      </c>
      <c r="H667" s="19">
        <f>ROUND(H664/H665,2)</f>
        <v>16114.23</v>
      </c>
      <c r="I667" s="19">
        <f>ROUND(I664/I665,2)</f>
        <v>16090.29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-13.55</v>
      </c>
      <c r="I670" s="19">
        <f>SUM(F670:H670)</f>
        <v>-13.55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16295.87</v>
      </c>
      <c r="G672" s="19">
        <f>ROUND((G664+G669)/(G665+G670),2)</f>
        <v>15436.1</v>
      </c>
      <c r="H672" s="19">
        <f>ROUND((H664+H669)/(H665+H670),2)</f>
        <v>16302.43</v>
      </c>
      <c r="I672" s="19">
        <f>ROUND((I664+I669)/(I665+I670),2)</f>
        <v>16152.1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37" sqref="C37: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Merrimack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15200296.74</v>
      </c>
      <c r="C9" s="229">
        <f>'DOE25'!G197+'DOE25'!G215+'DOE25'!G233+'DOE25'!G276+'DOE25'!G295+'DOE25'!G314</f>
        <v>8745843.8234087005</v>
      </c>
    </row>
    <row r="10" spans="1:3" x14ac:dyDescent="0.2">
      <c r="A10" t="s">
        <v>778</v>
      </c>
      <c r="B10" s="240">
        <v>14139716.140000001</v>
      </c>
      <c r="C10" s="240">
        <v>8135614.1385284103</v>
      </c>
    </row>
    <row r="11" spans="1:3" x14ac:dyDescent="0.2">
      <c r="A11" t="s">
        <v>779</v>
      </c>
      <c r="B11" s="240">
        <v>1060580.6000000008</v>
      </c>
      <c r="C11" s="240">
        <v>610229.68488028995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15200296.740000002</v>
      </c>
      <c r="C13" s="231">
        <f>SUM(C10:C12)</f>
        <v>8745843.8234087005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7376235.3499999996</v>
      </c>
      <c r="C18" s="229">
        <f>'DOE25'!G198+'DOE25'!G216+'DOE25'!G234+'DOE25'!G277+'DOE25'!G296+'DOE25'!G315</f>
        <v>4240199.6680962015</v>
      </c>
    </row>
    <row r="19" spans="1:3" x14ac:dyDescent="0.2">
      <c r="A19" t="s">
        <v>778</v>
      </c>
      <c r="B19" s="240">
        <f>3161108.86+7376235.35-7264302.83</f>
        <v>3273041.379999999</v>
      </c>
      <c r="C19" s="240">
        <v>1881494.8702987263</v>
      </c>
    </row>
    <row r="20" spans="1:3" x14ac:dyDescent="0.2">
      <c r="A20" t="s">
        <v>779</v>
      </c>
      <c r="B20" s="240">
        <v>4103193.97</v>
      </c>
      <c r="C20" s="240">
        <v>2358704.797797475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7376235.3499999996</v>
      </c>
      <c r="C22" s="231">
        <f>SUM(C19:C21)</f>
        <v>4240199.6680962015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359120.4</v>
      </c>
      <c r="C36" s="235">
        <f>'DOE25'!G200+'DOE25'!G218+'DOE25'!G236+'DOE25'!G279+'DOE25'!G298+'DOE25'!G317</f>
        <v>215576.30114185842</v>
      </c>
    </row>
    <row r="37" spans="1:3" x14ac:dyDescent="0.2">
      <c r="A37" t="s">
        <v>778</v>
      </c>
      <c r="B37" s="240">
        <v>251825.4</v>
      </c>
      <c r="C37" s="240">
        <v>151168.2106211982</v>
      </c>
    </row>
    <row r="38" spans="1:3" x14ac:dyDescent="0.2">
      <c r="A38" t="s">
        <v>779</v>
      </c>
      <c r="B38" s="240">
        <v>107295</v>
      </c>
      <c r="C38" s="240">
        <v>64408.090520660189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359120.4</v>
      </c>
      <c r="C40" s="231">
        <f>SUM(C37:C39)</f>
        <v>215576.30114185839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Merrimack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41822188.152646765</v>
      </c>
      <c r="D5" s="20">
        <f>SUM('DOE25'!L197:L200)+SUM('DOE25'!L215:L218)+SUM('DOE25'!L233:L236)-F5-G5</f>
        <v>41531113.352646768</v>
      </c>
      <c r="E5" s="243"/>
      <c r="F5" s="255">
        <f>SUM('DOE25'!J197:J200)+SUM('DOE25'!J215:J218)+SUM('DOE25'!J233:J236)</f>
        <v>273221.8</v>
      </c>
      <c r="G5" s="53">
        <f>SUM('DOE25'!K197:K200)+SUM('DOE25'!K215:K218)+SUM('DOE25'!K233:K236)</f>
        <v>17853</v>
      </c>
      <c r="H5" s="259"/>
    </row>
    <row r="6" spans="1:9" x14ac:dyDescent="0.2">
      <c r="A6" s="32">
        <v>2100</v>
      </c>
      <c r="B6" t="s">
        <v>800</v>
      </c>
      <c r="C6" s="245">
        <f t="shared" si="0"/>
        <v>5120678.6739148013</v>
      </c>
      <c r="D6" s="20">
        <f>'DOE25'!L202+'DOE25'!L220+'DOE25'!L238-F6-G6</f>
        <v>5120288.6539148018</v>
      </c>
      <c r="E6" s="243"/>
      <c r="F6" s="255">
        <f>'DOE25'!J202+'DOE25'!J220+'DOE25'!J238</f>
        <v>390.02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1634730.1055542487</v>
      </c>
      <c r="D7" s="20">
        <f>'DOE25'!L203+'DOE25'!L221+'DOE25'!L239-F7-G7</f>
        <v>1620303.8255542486</v>
      </c>
      <c r="E7" s="243"/>
      <c r="F7" s="255">
        <f>'DOE25'!J203+'DOE25'!J221+'DOE25'!J239</f>
        <v>12326.279999999999</v>
      </c>
      <c r="G7" s="53">
        <f>'DOE25'!K203+'DOE25'!K221+'DOE25'!K239</f>
        <v>2100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1632735.3558137699</v>
      </c>
      <c r="D8" s="243"/>
      <c r="E8" s="20">
        <f>'DOE25'!L204+'DOE25'!L222+'DOE25'!L240-F8-G8-D9-D11</f>
        <v>1570994.9358137697</v>
      </c>
      <c r="F8" s="255">
        <f>'DOE25'!J204+'DOE25'!J222+'DOE25'!J240</f>
        <v>34653.619999999995</v>
      </c>
      <c r="G8" s="53">
        <f>'DOE25'!K204+'DOE25'!K222+'DOE25'!K240</f>
        <v>27086.800000000003</v>
      </c>
      <c r="H8" s="259"/>
    </row>
    <row r="9" spans="1:9" x14ac:dyDescent="0.2">
      <c r="A9" s="32">
        <v>2310</v>
      </c>
      <c r="B9" t="s">
        <v>817</v>
      </c>
      <c r="C9" s="245">
        <f t="shared" si="0"/>
        <v>79562.23</v>
      </c>
      <c r="D9" s="244">
        <v>79562.23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37000</v>
      </c>
      <c r="D10" s="243"/>
      <c r="E10" s="244">
        <v>37000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478956.35</v>
      </c>
      <c r="D11" s="244">
        <v>478956.35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3184470.3650204907</v>
      </c>
      <c r="D12" s="20">
        <f>'DOE25'!L205+'DOE25'!L223+'DOE25'!L241-F12-G12</f>
        <v>3138649.5650204909</v>
      </c>
      <c r="E12" s="243"/>
      <c r="F12" s="255">
        <f>'DOE25'!J205+'DOE25'!J223+'DOE25'!J241</f>
        <v>0</v>
      </c>
      <c r="G12" s="53">
        <f>'DOE25'!K205+'DOE25'!K223+'DOE25'!K241</f>
        <v>45820.800000000003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668090.07106846711</v>
      </c>
      <c r="D13" s="243"/>
      <c r="E13" s="20">
        <f>'DOE25'!L206+'DOE25'!L224+'DOE25'!L242-F13-G13</f>
        <v>660026.27106846706</v>
      </c>
      <c r="F13" s="255">
        <f>'DOE25'!J206+'DOE25'!J224+'DOE25'!J242</f>
        <v>0</v>
      </c>
      <c r="G13" s="53">
        <f>'DOE25'!K206+'DOE25'!K224+'DOE25'!K242</f>
        <v>8063.7999999999993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4591549.8732509073</v>
      </c>
      <c r="D14" s="20">
        <f>'DOE25'!L207+'DOE25'!L225+'DOE25'!L243-F14-G14</f>
        <v>4580606.2532509072</v>
      </c>
      <c r="E14" s="243"/>
      <c r="F14" s="255">
        <f>'DOE25'!J207+'DOE25'!J225+'DOE25'!J243</f>
        <v>10943.62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3299139.6656127083</v>
      </c>
      <c r="D15" s="20">
        <f>'DOE25'!L208+'DOE25'!L226+'DOE25'!L244-F15-G15</f>
        <v>3299139.6656127083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162343.22711784882</v>
      </c>
      <c r="D16" s="243"/>
      <c r="E16" s="20">
        <f>'DOE25'!L209+'DOE25'!L227+'DOE25'!L245-F16-G16</f>
        <v>162343.22711784882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19646.3</v>
      </c>
      <c r="D17" s="20">
        <f>'DOE25'!L251-F17-G17</f>
        <v>19646.3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2866068.21</v>
      </c>
      <c r="D22" s="243"/>
      <c r="E22" s="243"/>
      <c r="F22" s="255">
        <f>'DOE25'!L255+'DOE25'!L336</f>
        <v>2866068.21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1370270</v>
      </c>
      <c r="D25" s="243"/>
      <c r="E25" s="243"/>
      <c r="F25" s="258"/>
      <c r="G25" s="256"/>
      <c r="H25" s="257">
        <f>'DOE25'!L260+'DOE25'!L261+'DOE25'!L341+'DOE25'!L342</f>
        <v>1370270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689431.65000000014</v>
      </c>
      <c r="D29" s="20">
        <f>'DOE25'!L358+'DOE25'!L359+'DOE25'!L360-'DOE25'!I367-F29-G29</f>
        <v>683535.79000000015</v>
      </c>
      <c r="E29" s="243"/>
      <c r="F29" s="255">
        <f>'DOE25'!J358+'DOE25'!J359+'DOE25'!J360</f>
        <v>610.86</v>
      </c>
      <c r="G29" s="53">
        <f>'DOE25'!K358+'DOE25'!K359+'DOE25'!K360</f>
        <v>5285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1418813.34</v>
      </c>
      <c r="D31" s="20">
        <f>'DOE25'!L290+'DOE25'!L309+'DOE25'!L328+'DOE25'!L333+'DOE25'!L334+'DOE25'!L335-F31-G31</f>
        <v>1405045.1500000001</v>
      </c>
      <c r="E31" s="243"/>
      <c r="F31" s="255">
        <f>'DOE25'!J290+'DOE25'!J309+'DOE25'!J328+'DOE25'!J333+'DOE25'!J334+'DOE25'!J335</f>
        <v>13768.19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61956847.135999918</v>
      </c>
      <c r="E33" s="246">
        <f>SUM(E5:E31)</f>
        <v>2430364.4340000851</v>
      </c>
      <c r="F33" s="246">
        <f>SUM(F5:F31)</f>
        <v>3211982.5999999996</v>
      </c>
      <c r="G33" s="246">
        <f>SUM(G5:G31)</f>
        <v>106209.40000000001</v>
      </c>
      <c r="H33" s="246">
        <f>SUM(H5:H31)</f>
        <v>1370270</v>
      </c>
    </row>
    <row r="35" spans="2:8" ht="12" thickBot="1" x14ac:dyDescent="0.25">
      <c r="B35" s="253" t="s">
        <v>846</v>
      </c>
      <c r="D35" s="254">
        <f>E33</f>
        <v>2430364.4340000851</v>
      </c>
      <c r="E35" s="249"/>
    </row>
    <row r="36" spans="2:8" ht="12" thickTop="1" x14ac:dyDescent="0.2">
      <c r="B36" t="s">
        <v>814</v>
      </c>
      <c r="D36" s="20">
        <f>D33</f>
        <v>61956847.135999918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8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3393111.65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262686.68</v>
      </c>
      <c r="F12" s="95">
        <f>'DOE25'!I13</f>
        <v>0</v>
      </c>
      <c r="G12" s="95">
        <f>'DOE25'!J13</f>
        <v>748053.55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20057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42564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3393111.65</v>
      </c>
      <c r="D18" s="41">
        <f>SUM(D8:D17)</f>
        <v>62621</v>
      </c>
      <c r="E18" s="41">
        <f>SUM(E8:E17)</f>
        <v>262686.68</v>
      </c>
      <c r="F18" s="41">
        <f>SUM(F8:F17)</f>
        <v>0</v>
      </c>
      <c r="G18" s="41">
        <f>SUM(G8:G17)</f>
        <v>748053.55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3762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262686.68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56720.74</v>
      </c>
      <c r="D23" s="95">
        <f>'DOE25'!G24</f>
        <v>149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26431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56720.74</v>
      </c>
      <c r="D31" s="41">
        <f>SUM(D21:D30)</f>
        <v>30342</v>
      </c>
      <c r="E31" s="41">
        <f>SUM(E21:E30)</f>
        <v>262686.68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42564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21839.17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-10285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16860.37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11976.52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748053.55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3210714.85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3336390.91</v>
      </c>
      <c r="D50" s="41">
        <f>SUM(D34:D49)</f>
        <v>32279</v>
      </c>
      <c r="E50" s="41">
        <f>SUM(E34:E49)</f>
        <v>0</v>
      </c>
      <c r="F50" s="41">
        <f>SUM(F34:F49)</f>
        <v>0</v>
      </c>
      <c r="G50" s="41">
        <f>SUM(G34:G49)</f>
        <v>748053.55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3393111.6500000004</v>
      </c>
      <c r="D51" s="41">
        <f>D50+D31</f>
        <v>62621</v>
      </c>
      <c r="E51" s="41">
        <f>E50+E31</f>
        <v>262686.68</v>
      </c>
      <c r="F51" s="41">
        <f>F50+F31</f>
        <v>0</v>
      </c>
      <c r="G51" s="41">
        <f>G50+G31</f>
        <v>748053.55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47872480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203061.47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15297.16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2205.36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893019.98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48261.819999999992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266620.45</v>
      </c>
      <c r="D62" s="130">
        <f>SUM(D57:D61)</f>
        <v>893019.98</v>
      </c>
      <c r="E62" s="130">
        <f>SUM(E57:E61)</f>
        <v>0</v>
      </c>
      <c r="F62" s="130">
        <f>SUM(F57:F61)</f>
        <v>0</v>
      </c>
      <c r="G62" s="130">
        <f>SUM(G57:G61)</f>
        <v>2205.36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48139100.450000003</v>
      </c>
      <c r="D63" s="22">
        <f>D56+D62</f>
        <v>893019.98</v>
      </c>
      <c r="E63" s="22">
        <f>E56+E62</f>
        <v>0</v>
      </c>
      <c r="F63" s="22">
        <f>F56+F62</f>
        <v>0</v>
      </c>
      <c r="G63" s="22">
        <f>G56+G62</f>
        <v>2205.36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7844583.3399999999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6982221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8142.41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14834946.75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423866.4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868151.1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10887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40706.620000000003</v>
      </c>
      <c r="D77" s="95">
        <f>SUM('DOE25'!G131:G135)</f>
        <v>15650.1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1343611.12</v>
      </c>
      <c r="D78" s="130">
        <f>SUM(D72:D77)</f>
        <v>15650.1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16178557.870000001</v>
      </c>
      <c r="D81" s="130">
        <f>SUM(D79:D80)+D78+D70</f>
        <v>15650.1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704732.82</v>
      </c>
      <c r="D88" s="95">
        <f>SUM('DOE25'!G153:G161)</f>
        <v>273308.21999999997</v>
      </c>
      <c r="E88" s="95">
        <f>SUM('DOE25'!H153:H161)</f>
        <v>1420681.17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704732.82</v>
      </c>
      <c r="D91" s="131">
        <f>SUM(D85:D90)</f>
        <v>273308.21999999997</v>
      </c>
      <c r="E91" s="131">
        <f>SUM(E85:E90)</f>
        <v>1420681.17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95821.19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95821.19</v>
      </c>
    </row>
    <row r="104" spans="1:7" ht="12.75" thickTop="1" thickBot="1" x14ac:dyDescent="0.25">
      <c r="A104" s="33" t="s">
        <v>764</v>
      </c>
      <c r="C104" s="86">
        <f>C63+C81+C91+C103</f>
        <v>65022391.140000008</v>
      </c>
      <c r="D104" s="86">
        <f>D63+D81+D91+D103</f>
        <v>1181978.2999999998</v>
      </c>
      <c r="E104" s="86">
        <f>E63+E81+E91+E103</f>
        <v>1420681.17</v>
      </c>
      <c r="F104" s="86">
        <f>F63+F81+F91+F103</f>
        <v>0</v>
      </c>
      <c r="G104" s="86">
        <f>G63+G81+G103</f>
        <v>98026.55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24692437.853408698</v>
      </c>
      <c r="D109" s="24" t="s">
        <v>288</v>
      </c>
      <c r="E109" s="95">
        <f>('DOE25'!L276)+('DOE25'!L295)+('DOE25'!L314)</f>
        <v>324532.02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16338247.428096201</v>
      </c>
      <c r="D110" s="24" t="s">
        <v>288</v>
      </c>
      <c r="E110" s="95">
        <f>('DOE25'!L277)+('DOE25'!L296)+('DOE25'!L315)</f>
        <v>111932.52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4154.92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787347.95114185847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19646.3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41841834.452646755</v>
      </c>
      <c r="D115" s="86">
        <f>SUM(D109:D114)</f>
        <v>0</v>
      </c>
      <c r="E115" s="86">
        <f>SUM(E109:E114)</f>
        <v>436464.54000000004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5120678.6739148013</v>
      </c>
      <c r="D118" s="24" t="s">
        <v>288</v>
      </c>
      <c r="E118" s="95">
        <f>+('DOE25'!L281)+('DOE25'!L300)+('DOE25'!L319)</f>
        <v>594215.19999999995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1634730.1055542487</v>
      </c>
      <c r="D119" s="24" t="s">
        <v>288</v>
      </c>
      <c r="E119" s="95">
        <f>+('DOE25'!L282)+('DOE25'!L301)+('DOE25'!L320)</f>
        <v>336535.22000000003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2191253.9358137697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3184470.3650204907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668090.07106846711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4591549.8732509073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3299139.6656127083</v>
      </c>
      <c r="D124" s="24" t="s">
        <v>288</v>
      </c>
      <c r="E124" s="95">
        <f>+('DOE25'!L287)+('DOE25'!L306)+('DOE25'!L325)</f>
        <v>33568.420000000006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162343.22711784882</v>
      </c>
      <c r="D125" s="24" t="s">
        <v>288</v>
      </c>
      <c r="E125" s="95">
        <f>+('DOE25'!L288)+('DOE25'!L307)+('DOE25'!L326)</f>
        <v>18029.96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1260556.1700000002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20852255.917353243</v>
      </c>
      <c r="D128" s="86">
        <f>SUM(D118:D127)</f>
        <v>1260556.1700000002</v>
      </c>
      <c r="E128" s="86">
        <f>SUM(E118:E127)</f>
        <v>982348.79999999993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2866068.21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1070000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300270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98026.55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-2205.3600000000006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4332159.3999999994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67026249.769999996</v>
      </c>
      <c r="D145" s="86">
        <f>(D115+D128+D144)</f>
        <v>1260556.1700000002</v>
      </c>
      <c r="E145" s="86">
        <f>(E115+E128+E144)</f>
        <v>1418813.3399999999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12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2/01</v>
      </c>
      <c r="C152" s="152" t="str">
        <f>'DOE25'!G491</f>
        <v>2/04</v>
      </c>
      <c r="D152" s="152" t="str">
        <f>'DOE25'!H491</f>
        <v>07/07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8/20</v>
      </c>
      <c r="C153" s="152" t="str">
        <f>'DOE25'!G492</f>
        <v>8/23</v>
      </c>
      <c r="D153" s="152" t="str">
        <f>'DOE25'!H492</f>
        <v>07/20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5915851</v>
      </c>
      <c r="C154" s="137">
        <f>'DOE25'!G493</f>
        <v>15525000</v>
      </c>
      <c r="D154" s="137">
        <f>'DOE25'!H493</f>
        <v>3675816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5.31</v>
      </c>
      <c r="C155" s="137">
        <f>'DOE25'!G494</f>
        <v>3.52</v>
      </c>
      <c r="D155" s="137">
        <f>'DOE25'!H494</f>
        <v>4.4800000000000004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1535000</v>
      </c>
      <c r="C156" s="137">
        <f>'DOE25'!G495</f>
        <v>6200000</v>
      </c>
      <c r="D156" s="137">
        <f>'DOE25'!H495</f>
        <v>1713618</v>
      </c>
      <c r="E156" s="137">
        <f>'DOE25'!I495</f>
        <v>0</v>
      </c>
      <c r="F156" s="137">
        <f>'DOE25'!J495</f>
        <v>0</v>
      </c>
      <c r="G156" s="138">
        <f>SUM(B156:F156)</f>
        <v>9448618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295000</v>
      </c>
      <c r="C158" s="137">
        <f>'DOE25'!G497</f>
        <v>775000</v>
      </c>
      <c r="D158" s="137">
        <f>'DOE25'!H497</f>
        <v>245382</v>
      </c>
      <c r="E158" s="137">
        <f>'DOE25'!I497</f>
        <v>0</v>
      </c>
      <c r="F158" s="137">
        <f>'DOE25'!J497</f>
        <v>0</v>
      </c>
      <c r="G158" s="138">
        <f t="shared" si="0"/>
        <v>1315382</v>
      </c>
    </row>
    <row r="159" spans="1:9" x14ac:dyDescent="0.2">
      <c r="A159" s="22" t="s">
        <v>35</v>
      </c>
      <c r="B159" s="137">
        <f>'DOE25'!F498</f>
        <v>1240000</v>
      </c>
      <c r="C159" s="137">
        <f>'DOE25'!G498</f>
        <v>5425000</v>
      </c>
      <c r="D159" s="137">
        <f>'DOE25'!H498</f>
        <v>1468236</v>
      </c>
      <c r="E159" s="137">
        <f>'DOE25'!I498</f>
        <v>0</v>
      </c>
      <c r="F159" s="137">
        <f>'DOE25'!J498</f>
        <v>0</v>
      </c>
      <c r="G159" s="138">
        <f t="shared" si="0"/>
        <v>8133236</v>
      </c>
    </row>
    <row r="160" spans="1:9" x14ac:dyDescent="0.2">
      <c r="A160" s="22" t="s">
        <v>36</v>
      </c>
      <c r="B160" s="137">
        <f>'DOE25'!F499</f>
        <v>59650</v>
      </c>
      <c r="C160" s="137">
        <f>'DOE25'!G499</f>
        <v>833125</v>
      </c>
      <c r="D160" s="137">
        <f>'DOE25'!H499</f>
        <v>96287</v>
      </c>
      <c r="E160" s="137">
        <f>'DOE25'!I499</f>
        <v>0</v>
      </c>
      <c r="F160" s="137">
        <f>'DOE25'!J499</f>
        <v>0</v>
      </c>
      <c r="G160" s="138">
        <f t="shared" si="0"/>
        <v>989062</v>
      </c>
    </row>
    <row r="161" spans="1:7" x14ac:dyDescent="0.2">
      <c r="A161" s="22" t="s">
        <v>37</v>
      </c>
      <c r="B161" s="137">
        <f>'DOE25'!F500</f>
        <v>1299650</v>
      </c>
      <c r="C161" s="137">
        <f>'DOE25'!G500</f>
        <v>6258125</v>
      </c>
      <c r="D161" s="137">
        <f>'DOE25'!H500</f>
        <v>1564523</v>
      </c>
      <c r="E161" s="137">
        <f>'DOE25'!I500</f>
        <v>0</v>
      </c>
      <c r="F161" s="137">
        <f>'DOE25'!J500</f>
        <v>0</v>
      </c>
      <c r="G161" s="138">
        <f t="shared" si="0"/>
        <v>9122298</v>
      </c>
    </row>
    <row r="162" spans="1:7" x14ac:dyDescent="0.2">
      <c r="A162" s="22" t="s">
        <v>38</v>
      </c>
      <c r="B162" s="137">
        <f>'DOE25'!F501</f>
        <v>295000</v>
      </c>
      <c r="C162" s="137">
        <f>'DOE25'!G501</f>
        <v>775000</v>
      </c>
      <c r="D162" s="137">
        <f>'DOE25'!H501</f>
        <v>245382</v>
      </c>
      <c r="E162" s="137">
        <f>'DOE25'!I501</f>
        <v>0</v>
      </c>
      <c r="F162" s="137">
        <f>'DOE25'!J501</f>
        <v>0</v>
      </c>
      <c r="G162" s="138">
        <f t="shared" si="0"/>
        <v>1315382</v>
      </c>
    </row>
    <row r="163" spans="1:7" x14ac:dyDescent="0.2">
      <c r="A163" s="22" t="s">
        <v>39</v>
      </c>
      <c r="B163" s="137">
        <f>'DOE25'!F502</f>
        <v>59640</v>
      </c>
      <c r="C163" s="137">
        <f>'DOE25'!G502</f>
        <v>228625</v>
      </c>
      <c r="D163" s="137">
        <f>'DOE25'!H502</f>
        <v>57535</v>
      </c>
      <c r="E163" s="137">
        <f>'DOE25'!I502</f>
        <v>0</v>
      </c>
      <c r="F163" s="137">
        <f>'DOE25'!J502</f>
        <v>0</v>
      </c>
      <c r="G163" s="138">
        <f t="shared" si="0"/>
        <v>345800</v>
      </c>
    </row>
    <row r="164" spans="1:7" x14ac:dyDescent="0.2">
      <c r="A164" s="22" t="s">
        <v>246</v>
      </c>
      <c r="B164" s="137">
        <f>'DOE25'!F503</f>
        <v>354640</v>
      </c>
      <c r="C164" s="137">
        <f>'DOE25'!G503</f>
        <v>1003625</v>
      </c>
      <c r="D164" s="137">
        <f>'DOE25'!H503</f>
        <v>302917</v>
      </c>
      <c r="E164" s="137">
        <f>'DOE25'!I503</f>
        <v>0</v>
      </c>
      <c r="F164" s="137">
        <f>'DOE25'!J503</f>
        <v>0</v>
      </c>
      <c r="G164" s="138">
        <f t="shared" si="0"/>
        <v>1661182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Merrimack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16296</v>
      </c>
    </row>
    <row r="5" spans="1:4" x14ac:dyDescent="0.2">
      <c r="B5" t="s">
        <v>703</v>
      </c>
      <c r="C5" s="179">
        <f>IF('DOE25'!G665+'DOE25'!G670=0,0,ROUND('DOE25'!G672,0))</f>
        <v>15436</v>
      </c>
    </row>
    <row r="6" spans="1:4" x14ac:dyDescent="0.2">
      <c r="B6" t="s">
        <v>62</v>
      </c>
      <c r="C6" s="179">
        <f>IF('DOE25'!H665+'DOE25'!H670=0,0,ROUND('DOE25'!H672,0))</f>
        <v>16302</v>
      </c>
    </row>
    <row r="7" spans="1:4" x14ac:dyDescent="0.2">
      <c r="B7" t="s">
        <v>704</v>
      </c>
      <c r="C7" s="179">
        <f>IF('DOE25'!I665+'DOE25'!I670=0,0,ROUND('DOE25'!I672,0))</f>
        <v>16152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25016970</v>
      </c>
      <c r="D10" s="182">
        <f>ROUND((C10/$C$28)*100,1)</f>
        <v>38.6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16450180</v>
      </c>
      <c r="D11" s="182">
        <f>ROUND((C11/$C$28)*100,1)</f>
        <v>25.4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4155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787348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5714894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1971265</v>
      </c>
      <c r="D16" s="182">
        <f t="shared" si="0"/>
        <v>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2371627</v>
      </c>
      <c r="D17" s="182">
        <f t="shared" si="0"/>
        <v>3.7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3184470</v>
      </c>
      <c r="D18" s="182">
        <f t="shared" si="0"/>
        <v>4.9000000000000004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668090</v>
      </c>
      <c r="D19" s="182">
        <f t="shared" si="0"/>
        <v>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4591550</v>
      </c>
      <c r="D20" s="182">
        <f t="shared" si="0"/>
        <v>7.1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3332708</v>
      </c>
      <c r="D21" s="182">
        <f t="shared" si="0"/>
        <v>5.0999999999999996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19646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300270</v>
      </c>
      <c r="D25" s="182">
        <f t="shared" si="0"/>
        <v>0.5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367536.02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64780709.020000003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2866068</v>
      </c>
    </row>
    <row r="30" spans="1:4" x14ac:dyDescent="0.2">
      <c r="B30" s="187" t="s">
        <v>728</v>
      </c>
      <c r="C30" s="180">
        <f>SUM(C28:C29)</f>
        <v>67646777.020000011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1070000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47872480</v>
      </c>
      <c r="D35" s="182">
        <f t="shared" ref="D35:D40" si="1">ROUND((C35/$C$41)*100,1)</f>
        <v>71.7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268825.80999999493</v>
      </c>
      <c r="D36" s="182">
        <f t="shared" si="1"/>
        <v>0.4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14826804</v>
      </c>
      <c r="D37" s="182">
        <f t="shared" si="1"/>
        <v>22.2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1367404</v>
      </c>
      <c r="D38" s="182">
        <f t="shared" si="1"/>
        <v>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2398722</v>
      </c>
      <c r="D39" s="182">
        <f t="shared" si="1"/>
        <v>3.6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66734235.809999995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Merrimack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2017-10-19T12:27:22Z</cp:lastPrinted>
  <dcterms:created xsi:type="dcterms:W3CDTF">1997-12-04T19:04:30Z</dcterms:created>
  <dcterms:modified xsi:type="dcterms:W3CDTF">2017-11-29T17:41:33Z</dcterms:modified>
</cp:coreProperties>
</file>