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200" windowHeight="58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F57" i="1"/>
  <c r="G533" i="1"/>
  <c r="G534" i="1"/>
  <c r="G532" i="1"/>
  <c r="G531" i="1"/>
  <c r="F533" i="1"/>
  <c r="F532" i="1"/>
  <c r="F531" i="1"/>
  <c r="G528" i="1"/>
  <c r="G527" i="1"/>
  <c r="G526" i="1"/>
  <c r="F528" i="1"/>
  <c r="L528" i="1" s="1"/>
  <c r="G551" i="1" s="1"/>
  <c r="F527" i="1"/>
  <c r="F526" i="1"/>
  <c r="J523" i="1"/>
  <c r="J522" i="1"/>
  <c r="J524" i="1" s="1"/>
  <c r="J521" i="1"/>
  <c r="I523" i="1"/>
  <c r="I522" i="1"/>
  <c r="I521" i="1"/>
  <c r="I524" i="1" s="1"/>
  <c r="I545" i="1" s="1"/>
  <c r="H523" i="1"/>
  <c r="H522" i="1"/>
  <c r="H521" i="1"/>
  <c r="G523" i="1"/>
  <c r="G522" i="1"/>
  <c r="G521" i="1"/>
  <c r="F523" i="1"/>
  <c r="L523" i="1"/>
  <c r="F551" i="1" s="1"/>
  <c r="F522" i="1"/>
  <c r="L522" i="1" s="1"/>
  <c r="F550" i="1" s="1"/>
  <c r="F521" i="1"/>
  <c r="H538" i="1"/>
  <c r="H536" i="1"/>
  <c r="H533" i="1"/>
  <c r="H532" i="1"/>
  <c r="L532" i="1"/>
  <c r="H531" i="1"/>
  <c r="I532" i="1"/>
  <c r="H528" i="1"/>
  <c r="H527" i="1"/>
  <c r="H526" i="1"/>
  <c r="L526" i="1" s="1"/>
  <c r="H579" i="1"/>
  <c r="G579" i="1"/>
  <c r="F579" i="1"/>
  <c r="F663" i="1" s="1"/>
  <c r="F28" i="1"/>
  <c r="G233" i="1"/>
  <c r="G215" i="1"/>
  <c r="G197" i="1"/>
  <c r="F314" i="1"/>
  <c r="F295" i="1"/>
  <c r="F276" i="1"/>
  <c r="H22" i="1"/>
  <c r="H12" i="1"/>
  <c r="H161" i="1"/>
  <c r="H162" i="1" s="1"/>
  <c r="F233" i="1"/>
  <c r="H367" i="1"/>
  <c r="I360" i="1"/>
  <c r="J604" i="1"/>
  <c r="J244" i="1"/>
  <c r="L244" i="1"/>
  <c r="F208" i="1"/>
  <c r="L208" i="1" s="1"/>
  <c r="H595" i="1"/>
  <c r="I604" i="1"/>
  <c r="H604" i="1"/>
  <c r="J597" i="1"/>
  <c r="J598" i="1" s="1"/>
  <c r="H651" i="1" s="1"/>
  <c r="I597" i="1"/>
  <c r="H597" i="1"/>
  <c r="J595" i="1"/>
  <c r="I595" i="1"/>
  <c r="J593" i="1"/>
  <c r="H591" i="1"/>
  <c r="H598" i="1"/>
  <c r="H649" i="1" s="1"/>
  <c r="H30" i="1"/>
  <c r="H14" i="1"/>
  <c r="H24" i="1"/>
  <c r="E23" i="2" s="1"/>
  <c r="H13" i="1"/>
  <c r="G158" i="1"/>
  <c r="G97" i="1"/>
  <c r="G111" i="1"/>
  <c r="F29" i="1"/>
  <c r="F14" i="1"/>
  <c r="F10" i="1"/>
  <c r="I392" i="1"/>
  <c r="I389" i="1"/>
  <c r="J96" i="1"/>
  <c r="G644" i="1" s="1"/>
  <c r="F442" i="1"/>
  <c r="H368" i="1"/>
  <c r="G368" i="1"/>
  <c r="F368" i="1"/>
  <c r="F369" i="1" s="1"/>
  <c r="F367" i="1"/>
  <c r="H360" i="1"/>
  <c r="H359" i="1"/>
  <c r="H358" i="1"/>
  <c r="F360" i="1"/>
  <c r="F359" i="1"/>
  <c r="F362" i="1"/>
  <c r="F358" i="1"/>
  <c r="L358" i="1" s="1"/>
  <c r="F277" i="1"/>
  <c r="F296" i="1"/>
  <c r="I279" i="1"/>
  <c r="L279" i="1" s="1"/>
  <c r="E112" i="2" s="1"/>
  <c r="J277" i="1"/>
  <c r="J276" i="1"/>
  <c r="J290" i="1" s="1"/>
  <c r="F244" i="1"/>
  <c r="F226" i="1"/>
  <c r="I243" i="1"/>
  <c r="I225" i="1"/>
  <c r="I207" i="1"/>
  <c r="H243" i="1"/>
  <c r="H225" i="1"/>
  <c r="H229" i="1" s="1"/>
  <c r="H207" i="1"/>
  <c r="F243" i="1"/>
  <c r="L243" i="1" s="1"/>
  <c r="F225" i="1"/>
  <c r="F207" i="1"/>
  <c r="L207" i="1" s="1"/>
  <c r="I223" i="1"/>
  <c r="I205" i="1"/>
  <c r="L205" i="1" s="1"/>
  <c r="H240" i="1"/>
  <c r="L240" i="1"/>
  <c r="H204" i="1"/>
  <c r="J239" i="1"/>
  <c r="F7" i="13" s="1"/>
  <c r="J221" i="1"/>
  <c r="I239" i="1"/>
  <c r="I221" i="1"/>
  <c r="L221" i="1"/>
  <c r="I203" i="1"/>
  <c r="H203" i="1"/>
  <c r="F239" i="1"/>
  <c r="L239" i="1"/>
  <c r="F221" i="1"/>
  <c r="F203" i="1"/>
  <c r="J220" i="1"/>
  <c r="H238" i="1"/>
  <c r="H247" i="1" s="1"/>
  <c r="H220" i="1"/>
  <c r="H202" i="1"/>
  <c r="F238" i="1"/>
  <c r="F220" i="1"/>
  <c r="L220" i="1"/>
  <c r="F202" i="1"/>
  <c r="L202" i="1" s="1"/>
  <c r="K236" i="1"/>
  <c r="K218" i="1"/>
  <c r="J234" i="1"/>
  <c r="J216" i="1"/>
  <c r="F5" i="13"/>
  <c r="I234" i="1"/>
  <c r="I247" i="1"/>
  <c r="I216" i="1"/>
  <c r="I198" i="1"/>
  <c r="H234" i="1"/>
  <c r="H216" i="1"/>
  <c r="H198" i="1"/>
  <c r="L198" i="1" s="1"/>
  <c r="F234" i="1"/>
  <c r="F216" i="1"/>
  <c r="L216" i="1" s="1"/>
  <c r="C11" i="10" s="1"/>
  <c r="F198" i="1"/>
  <c r="I233" i="1"/>
  <c r="I215" i="1"/>
  <c r="L215" i="1" s="1"/>
  <c r="I197" i="1"/>
  <c r="F215" i="1"/>
  <c r="F197" i="1"/>
  <c r="C45" i="2"/>
  <c r="C37" i="10"/>
  <c r="D39" i="2"/>
  <c r="G655" i="1"/>
  <c r="J655" i="1" s="1"/>
  <c r="F48" i="2"/>
  <c r="E48" i="2"/>
  <c r="D48" i="2"/>
  <c r="C48" i="2"/>
  <c r="F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I460" i="1"/>
  <c r="C68" i="2"/>
  <c r="B2" i="13"/>
  <c r="F8" i="13"/>
  <c r="G8" i="13"/>
  <c r="L204" i="1"/>
  <c r="C120" i="2" s="1"/>
  <c r="L222" i="1"/>
  <c r="D39" i="13"/>
  <c r="F13" i="13"/>
  <c r="G13" i="13"/>
  <c r="L206" i="1"/>
  <c r="L224" i="1"/>
  <c r="E13" i="13" s="1"/>
  <c r="C13" i="13" s="1"/>
  <c r="L242" i="1"/>
  <c r="F16" i="13"/>
  <c r="G16" i="13"/>
  <c r="L209" i="1"/>
  <c r="E16" i="13" s="1"/>
  <c r="C16" i="13" s="1"/>
  <c r="L227" i="1"/>
  <c r="L245" i="1"/>
  <c r="L199" i="1"/>
  <c r="L200" i="1"/>
  <c r="L217" i="1"/>
  <c r="L218" i="1"/>
  <c r="L234" i="1"/>
  <c r="L235" i="1"/>
  <c r="F6" i="13"/>
  <c r="G6" i="13"/>
  <c r="G7" i="13"/>
  <c r="L203" i="1"/>
  <c r="F12" i="13"/>
  <c r="G12" i="13"/>
  <c r="L223" i="1"/>
  <c r="L241" i="1"/>
  <c r="F14" i="13"/>
  <c r="G14" i="13"/>
  <c r="F15" i="13"/>
  <c r="G15" i="13"/>
  <c r="L226" i="1"/>
  <c r="G650" i="1" s="1"/>
  <c r="F17" i="13"/>
  <c r="D17" i="13" s="1"/>
  <c r="C17" i="13" s="1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9" i="1"/>
  <c r="L360" i="1"/>
  <c r="J309" i="1"/>
  <c r="J328" i="1"/>
  <c r="K290" i="1"/>
  <c r="K309" i="1"/>
  <c r="K328" i="1"/>
  <c r="L277" i="1"/>
  <c r="L278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E118" i="2" s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L341" i="1"/>
  <c r="L342" i="1"/>
  <c r="E132" i="2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13" i="12"/>
  <c r="C13" i="12"/>
  <c r="B22" i="12"/>
  <c r="C18" i="12"/>
  <c r="C22" i="12"/>
  <c r="B1" i="12"/>
  <c r="L387" i="1"/>
  <c r="L388" i="1"/>
  <c r="L389" i="1"/>
  <c r="L390" i="1"/>
  <c r="L391" i="1"/>
  <c r="L395" i="1"/>
  <c r="L396" i="1"/>
  <c r="L401" i="1"/>
  <c r="C139" i="2" s="1"/>
  <c r="L397" i="1"/>
  <c r="L398" i="1"/>
  <c r="L399" i="1"/>
  <c r="L400" i="1"/>
  <c r="L403" i="1"/>
  <c r="L404" i="1"/>
  <c r="L405" i="1"/>
  <c r="L406" i="1"/>
  <c r="L266" i="1"/>
  <c r="J60" i="1"/>
  <c r="G56" i="2"/>
  <c r="G61" i="2"/>
  <c r="F2" i="11"/>
  <c r="L613" i="1"/>
  <c r="H663" i="1"/>
  <c r="L612" i="1"/>
  <c r="G663" i="1" s="1"/>
  <c r="L611" i="1"/>
  <c r="C40" i="10"/>
  <c r="F60" i="1"/>
  <c r="G60" i="1"/>
  <c r="H60" i="1"/>
  <c r="I60" i="1"/>
  <c r="F79" i="1"/>
  <c r="C57" i="2"/>
  <c r="F94" i="1"/>
  <c r="C58" i="2"/>
  <c r="F111" i="1"/>
  <c r="H79" i="1"/>
  <c r="E57" i="2"/>
  <c r="H94" i="1"/>
  <c r="E58" i="2"/>
  <c r="H111" i="1"/>
  <c r="I111" i="1"/>
  <c r="F121" i="1"/>
  <c r="F136" i="1"/>
  <c r="G121" i="1"/>
  <c r="G136" i="1"/>
  <c r="H121" i="1"/>
  <c r="H136" i="1"/>
  <c r="I121" i="1"/>
  <c r="I140" i="1" s="1"/>
  <c r="I136" i="1"/>
  <c r="J121" i="1"/>
  <c r="J140" i="1"/>
  <c r="J136" i="1"/>
  <c r="F147" i="1"/>
  <c r="F162" i="1"/>
  <c r="G147" i="1"/>
  <c r="D85" i="2" s="1"/>
  <c r="D91" i="2" s="1"/>
  <c r="G162" i="1"/>
  <c r="H147" i="1"/>
  <c r="H169" i="1" s="1"/>
  <c r="I147" i="1"/>
  <c r="I162" i="1"/>
  <c r="I169" i="1" s="1"/>
  <c r="L250" i="1"/>
  <c r="L332" i="1"/>
  <c r="L254" i="1"/>
  <c r="C25" i="10"/>
  <c r="L268" i="1"/>
  <c r="L269" i="1"/>
  <c r="C143" i="2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F130" i="2" s="1"/>
  <c r="F144" i="2" s="1"/>
  <c r="F145" i="2" s="1"/>
  <c r="L379" i="1"/>
  <c r="L380" i="1"/>
  <c r="B2" i="10"/>
  <c r="L344" i="1"/>
  <c r="L345" i="1"/>
  <c r="L346" i="1"/>
  <c r="L347" i="1"/>
  <c r="K351" i="1"/>
  <c r="L531" i="1"/>
  <c r="H549" i="1" s="1"/>
  <c r="L536" i="1"/>
  <c r="I549" i="1"/>
  <c r="L537" i="1"/>
  <c r="L541" i="1"/>
  <c r="J549" i="1" s="1"/>
  <c r="L542" i="1"/>
  <c r="J550" i="1"/>
  <c r="L543" i="1"/>
  <c r="J551" i="1" s="1"/>
  <c r="E131" i="2"/>
  <c r="K270" i="1"/>
  <c r="J270" i="1"/>
  <c r="I270" i="1"/>
  <c r="H270" i="1"/>
  <c r="G270" i="1"/>
  <c r="L270" i="1" s="1"/>
  <c r="F270" i="1"/>
  <c r="C132" i="2"/>
  <c r="A1" i="2"/>
  <c r="A2" i="2"/>
  <c r="C8" i="2"/>
  <c r="D8" i="2"/>
  <c r="E8" i="2"/>
  <c r="E18" i="2" s="1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F18" i="2"/>
  <c r="C13" i="2"/>
  <c r="D13" i="2"/>
  <c r="E13" i="2"/>
  <c r="F13" i="2"/>
  <c r="I443" i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 s="1"/>
  <c r="G17" i="2" s="1"/>
  <c r="C21" i="2"/>
  <c r="D21" i="2"/>
  <c r="F21" i="2"/>
  <c r="I448" i="1"/>
  <c r="C22" i="2"/>
  <c r="D22" i="2"/>
  <c r="E22" i="2"/>
  <c r="F22" i="2"/>
  <c r="I449" i="1"/>
  <c r="J23" i="1" s="1"/>
  <c r="G22" i="2" s="1"/>
  <c r="C23" i="2"/>
  <c r="D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 s="1"/>
  <c r="G42" i="2" s="1"/>
  <c r="I457" i="1"/>
  <c r="J37" i="1"/>
  <c r="G36" i="2" s="1"/>
  <c r="G50" i="2" s="1"/>
  <c r="I459" i="1"/>
  <c r="J48" i="1"/>
  <c r="G47" i="2"/>
  <c r="E56" i="2"/>
  <c r="C59" i="2"/>
  <c r="D59" i="2"/>
  <c r="E59" i="2"/>
  <c r="F59" i="2"/>
  <c r="C61" i="2"/>
  <c r="D61" i="2"/>
  <c r="E61" i="2"/>
  <c r="F61" i="2"/>
  <c r="C66" i="2"/>
  <c r="C70" i="2" s="1"/>
  <c r="C67" i="2"/>
  <c r="C69" i="2"/>
  <c r="D69" i="2"/>
  <c r="D70" i="2"/>
  <c r="E69" i="2"/>
  <c r="E70" i="2" s="1"/>
  <c r="F69" i="2"/>
  <c r="F70" i="2"/>
  <c r="G69" i="2"/>
  <c r="G70" i="2" s="1"/>
  <c r="C72" i="2"/>
  <c r="F72" i="2"/>
  <c r="F78" i="2"/>
  <c r="F81" i="2" s="1"/>
  <c r="C73" i="2"/>
  <c r="F73" i="2"/>
  <c r="C74" i="2"/>
  <c r="C75" i="2"/>
  <c r="C76" i="2"/>
  <c r="E76" i="2"/>
  <c r="E78" i="2"/>
  <c r="E81" i="2" s="1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C91" i="2" s="1"/>
  <c r="E85" i="2"/>
  <c r="F85" i="2"/>
  <c r="C87" i="2"/>
  <c r="E87" i="2"/>
  <c r="F87" i="2"/>
  <c r="C88" i="2"/>
  <c r="D88" i="2"/>
  <c r="E88" i="2"/>
  <c r="E91" i="2" s="1"/>
  <c r="F88" i="2"/>
  <c r="C89" i="2"/>
  <c r="D89" i="2"/>
  <c r="E89" i="2"/>
  <c r="F89" i="2"/>
  <c r="C90" i="2"/>
  <c r="C93" i="2"/>
  <c r="F93" i="2"/>
  <c r="F103" i="2" s="1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D115" i="2"/>
  <c r="D145" i="2" s="1"/>
  <c r="F115" i="2"/>
  <c r="G115" i="2"/>
  <c r="E121" i="2"/>
  <c r="C122" i="2"/>
  <c r="F128" i="2"/>
  <c r="G128" i="2"/>
  <c r="D134" i="2"/>
  <c r="D144" i="2"/>
  <c r="F134" i="2"/>
  <c r="K419" i="1"/>
  <c r="K427" i="1"/>
  <c r="K433" i="1"/>
  <c r="L263" i="1"/>
  <c r="C135" i="2" s="1"/>
  <c r="E135" i="2"/>
  <c r="L264" i="1"/>
  <c r="C136" i="2"/>
  <c r="L265" i="1"/>
  <c r="C137" i="2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G158" i="2" s="1"/>
  <c r="F158" i="2"/>
  <c r="B159" i="2"/>
  <c r="C159" i="2"/>
  <c r="G159" i="2" s="1"/>
  <c r="D159" i="2"/>
  <c r="E159" i="2"/>
  <c r="F159" i="2"/>
  <c r="B160" i="2"/>
  <c r="G160" i="2" s="1"/>
  <c r="C160" i="2"/>
  <c r="D160" i="2"/>
  <c r="E160" i="2"/>
  <c r="F160" i="2"/>
  <c r="F500" i="1"/>
  <c r="B161" i="2"/>
  <c r="G500" i="1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G163" i="2" s="1"/>
  <c r="F503" i="1"/>
  <c r="K503" i="1"/>
  <c r="B164" i="2"/>
  <c r="G503" i="1"/>
  <c r="C164" i="2"/>
  <c r="H503" i="1"/>
  <c r="D164" i="2"/>
  <c r="G164" i="2" s="1"/>
  <c r="I503" i="1"/>
  <c r="E164" i="2"/>
  <c r="J503" i="1"/>
  <c r="F164" i="2"/>
  <c r="F19" i="1"/>
  <c r="G617" i="1"/>
  <c r="G19" i="1"/>
  <c r="G618" i="1"/>
  <c r="H19" i="1"/>
  <c r="G619" i="1"/>
  <c r="I19" i="1"/>
  <c r="F32" i="1"/>
  <c r="G32" i="1"/>
  <c r="I32" i="1"/>
  <c r="F177" i="1"/>
  <c r="F192" i="1" s="1"/>
  <c r="I177" i="1"/>
  <c r="F183" i="1"/>
  <c r="G183" i="1"/>
  <c r="G192" i="1" s="1"/>
  <c r="H183" i="1"/>
  <c r="I183" i="1"/>
  <c r="J183" i="1"/>
  <c r="J192" i="1"/>
  <c r="F188" i="1"/>
  <c r="G188" i="1"/>
  <c r="H188" i="1"/>
  <c r="I188" i="1"/>
  <c r="J211" i="1"/>
  <c r="K211" i="1"/>
  <c r="F229" i="1"/>
  <c r="G229" i="1"/>
  <c r="J229" i="1"/>
  <c r="K229" i="1"/>
  <c r="J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L337" i="1" s="1"/>
  <c r="G337" i="1"/>
  <c r="H337" i="1"/>
  <c r="H338" i="1" s="1"/>
  <c r="I337" i="1"/>
  <c r="J337" i="1"/>
  <c r="K337" i="1"/>
  <c r="G362" i="1"/>
  <c r="I362" i="1"/>
  <c r="G634" i="1"/>
  <c r="J362" i="1"/>
  <c r="K362" i="1"/>
  <c r="G369" i="1"/>
  <c r="L381" i="1"/>
  <c r="F382" i="1"/>
  <c r="G382" i="1"/>
  <c r="H382" i="1"/>
  <c r="I382" i="1"/>
  <c r="J382" i="1"/>
  <c r="K382" i="1"/>
  <c r="F393" i="1"/>
  <c r="G393" i="1"/>
  <c r="H393" i="1"/>
  <c r="F401" i="1"/>
  <c r="G401" i="1"/>
  <c r="H401" i="1"/>
  <c r="I401" i="1"/>
  <c r="F407" i="1"/>
  <c r="G407" i="1"/>
  <c r="H407" i="1"/>
  <c r="H408" i="1"/>
  <c r="I407" i="1"/>
  <c r="F408" i="1"/>
  <c r="H643" i="1" s="1"/>
  <c r="J643" i="1"/>
  <c r="L413" i="1"/>
  <c r="L414" i="1"/>
  <c r="L415" i="1"/>
  <c r="L416" i="1"/>
  <c r="L419" i="1" s="1"/>
  <c r="L417" i="1"/>
  <c r="L418" i="1"/>
  <c r="F419" i="1"/>
  <c r="G419" i="1"/>
  <c r="G434" i="1" s="1"/>
  <c r="H419" i="1"/>
  <c r="I419" i="1"/>
  <c r="J419" i="1"/>
  <c r="L421" i="1"/>
  <c r="L422" i="1"/>
  <c r="L423" i="1"/>
  <c r="L424" i="1"/>
  <c r="L425" i="1"/>
  <c r="L426" i="1"/>
  <c r="F427" i="1"/>
  <c r="G427" i="1"/>
  <c r="H427" i="1"/>
  <c r="H434" i="1" s="1"/>
  <c r="I427" i="1"/>
  <c r="J427" i="1"/>
  <c r="L429" i="1"/>
  <c r="L433" i="1" s="1"/>
  <c r="L430" i="1"/>
  <c r="L431" i="1"/>
  <c r="L432" i="1"/>
  <c r="F433" i="1"/>
  <c r="G433" i="1"/>
  <c r="H433" i="1"/>
  <c r="I433" i="1"/>
  <c r="I434" i="1" s="1"/>
  <c r="J433" i="1"/>
  <c r="G446" i="1"/>
  <c r="G640" i="1" s="1"/>
  <c r="H446" i="1"/>
  <c r="G641" i="1" s="1"/>
  <c r="J641" i="1" s="1"/>
  <c r="F452" i="1"/>
  <c r="G452" i="1"/>
  <c r="G461" i="1" s="1"/>
  <c r="H640" i="1" s="1"/>
  <c r="H452" i="1"/>
  <c r="F460" i="1"/>
  <c r="F461" i="1"/>
  <c r="H639" i="1" s="1"/>
  <c r="G460" i="1"/>
  <c r="H460" i="1"/>
  <c r="H461" i="1" s="1"/>
  <c r="H641" i="1" s="1"/>
  <c r="K495" i="1"/>
  <c r="K496" i="1"/>
  <c r="K497" i="1"/>
  <c r="K498" i="1"/>
  <c r="K499" i="1"/>
  <c r="K501" i="1"/>
  <c r="K502" i="1"/>
  <c r="F517" i="1"/>
  <c r="G517" i="1"/>
  <c r="H517" i="1"/>
  <c r="I517" i="1"/>
  <c r="G524" i="1"/>
  <c r="H524" i="1"/>
  <c r="K524" i="1"/>
  <c r="F529" i="1"/>
  <c r="G529" i="1"/>
  <c r="I529" i="1"/>
  <c r="J529" i="1"/>
  <c r="K529" i="1"/>
  <c r="F534" i="1"/>
  <c r="I534" i="1"/>
  <c r="J534" i="1"/>
  <c r="K534" i="1"/>
  <c r="F539" i="1"/>
  <c r="G539" i="1"/>
  <c r="G545" i="1" s="1"/>
  <c r="I539" i="1"/>
  <c r="J539" i="1"/>
  <c r="K539" i="1"/>
  <c r="K545" i="1" s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I571" i="1" s="1"/>
  <c r="J560" i="1"/>
  <c r="K560" i="1"/>
  <c r="L562" i="1"/>
  <c r="L563" i="1"/>
  <c r="L564" i="1"/>
  <c r="F565" i="1"/>
  <c r="F571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K571" i="1"/>
  <c r="I575" i="1"/>
  <c r="I576" i="1"/>
  <c r="I577" i="1"/>
  <c r="I578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6" i="1"/>
  <c r="K597" i="1"/>
  <c r="K602" i="1"/>
  <c r="K605" i="1" s="1"/>
  <c r="G648" i="1" s="1"/>
  <c r="K603" i="1"/>
  <c r="H605" i="1"/>
  <c r="J605" i="1"/>
  <c r="F614" i="1"/>
  <c r="G614" i="1"/>
  <c r="H614" i="1"/>
  <c r="I614" i="1"/>
  <c r="J614" i="1"/>
  <c r="K614" i="1"/>
  <c r="L614" i="1"/>
  <c r="G620" i="1"/>
  <c r="G643" i="1"/>
  <c r="G645" i="1"/>
  <c r="G652" i="1"/>
  <c r="H652" i="1"/>
  <c r="J652" i="1"/>
  <c r="G653" i="1"/>
  <c r="H653" i="1"/>
  <c r="J653" i="1" s="1"/>
  <c r="G654" i="1"/>
  <c r="H654" i="1"/>
  <c r="H655" i="1"/>
  <c r="D18" i="13"/>
  <c r="C18" i="13" s="1"/>
  <c r="C78" i="2"/>
  <c r="C81" i="2" s="1"/>
  <c r="F169" i="1"/>
  <c r="H140" i="1"/>
  <c r="H192" i="1"/>
  <c r="L565" i="1"/>
  <c r="E119" i="2"/>
  <c r="G662" i="1"/>
  <c r="L309" i="1"/>
  <c r="F338" i="1"/>
  <c r="F352" i="1"/>
  <c r="H352" i="1"/>
  <c r="G338" i="1"/>
  <c r="G352" i="1"/>
  <c r="H644" i="1"/>
  <c r="J644" i="1" s="1"/>
  <c r="G661" i="1"/>
  <c r="D18" i="2"/>
  <c r="F62" i="2"/>
  <c r="C23" i="10"/>
  <c r="G103" i="2"/>
  <c r="F91" i="2"/>
  <c r="I338" i="1"/>
  <c r="I352" i="1" s="1"/>
  <c r="L407" i="1"/>
  <c r="C140" i="2" s="1"/>
  <c r="I192" i="1"/>
  <c r="J654" i="1"/>
  <c r="J434" i="1"/>
  <c r="F434" i="1"/>
  <c r="G169" i="1"/>
  <c r="G140" i="1"/>
  <c r="C38" i="10" s="1"/>
  <c r="F140" i="1"/>
  <c r="G16" i="2"/>
  <c r="G571" i="1"/>
  <c r="G51" i="1"/>
  <c r="G52" i="1" s="1"/>
  <c r="H618" i="1" s="1"/>
  <c r="D47" i="2"/>
  <c r="D50" i="2" s="1"/>
  <c r="D127" i="2"/>
  <c r="D128" i="2" s="1"/>
  <c r="F661" i="1"/>
  <c r="L362" i="1"/>
  <c r="G472" i="1" s="1"/>
  <c r="H635" i="1" s="1"/>
  <c r="F662" i="1"/>
  <c r="C124" i="2"/>
  <c r="C21" i="10"/>
  <c r="D15" i="13"/>
  <c r="C15" i="13" s="1"/>
  <c r="G649" i="1"/>
  <c r="J649" i="1"/>
  <c r="H647" i="1"/>
  <c r="L427" i="1"/>
  <c r="L434" i="1" s="1"/>
  <c r="J552" i="1"/>
  <c r="H550" i="1"/>
  <c r="H552" i="1" s="1"/>
  <c r="D81" i="2"/>
  <c r="J14" i="1"/>
  <c r="G13" i="2" s="1"/>
  <c r="C18" i="2"/>
  <c r="G112" i="1"/>
  <c r="G193" i="1" s="1"/>
  <c r="C103" i="2"/>
  <c r="F31" i="13"/>
  <c r="J338" i="1"/>
  <c r="J352" i="1"/>
  <c r="H661" i="1"/>
  <c r="H571" i="1"/>
  <c r="G157" i="2"/>
  <c r="L570" i="1"/>
  <c r="L571" i="1"/>
  <c r="F31" i="2"/>
  <c r="C62" i="2"/>
  <c r="C119" i="2"/>
  <c r="G549" i="1"/>
  <c r="K338" i="1"/>
  <c r="K352" i="1" s="1"/>
  <c r="C110" i="2"/>
  <c r="I605" i="1"/>
  <c r="I598" i="1"/>
  <c r="H650" i="1"/>
  <c r="J650" i="1" s="1"/>
  <c r="F524" i="1"/>
  <c r="F545" i="1"/>
  <c r="H362" i="1"/>
  <c r="G247" i="1"/>
  <c r="C130" i="2"/>
  <c r="D60" i="2"/>
  <c r="D62" i="2"/>
  <c r="J111" i="1"/>
  <c r="J112" i="1" s="1"/>
  <c r="J193" i="1" s="1"/>
  <c r="C56" i="2"/>
  <c r="L276" i="1"/>
  <c r="J39" i="1"/>
  <c r="D56" i="2"/>
  <c r="E8" i="13"/>
  <c r="D7" i="13"/>
  <c r="C7" i="13" s="1"/>
  <c r="C26" i="10"/>
  <c r="K604" i="1"/>
  <c r="I579" i="1"/>
  <c r="H534" i="1"/>
  <c r="L533" i="1"/>
  <c r="H551" i="1" s="1"/>
  <c r="L521" i="1"/>
  <c r="L233" i="1"/>
  <c r="L328" i="1"/>
  <c r="I368" i="1"/>
  <c r="H211" i="1"/>
  <c r="H257" i="1"/>
  <c r="H271" i="1" s="1"/>
  <c r="C125" i="2"/>
  <c r="H112" i="1"/>
  <c r="H193" i="1"/>
  <c r="G59" i="2"/>
  <c r="G62" i="2" s="1"/>
  <c r="G63" i="2" s="1"/>
  <c r="G104" i="2" s="1"/>
  <c r="C24" i="10"/>
  <c r="L382" i="1"/>
  <c r="I229" i="1"/>
  <c r="B18" i="12"/>
  <c r="A22" i="12"/>
  <c r="E134" i="2"/>
  <c r="C17" i="10"/>
  <c r="C19" i="10"/>
  <c r="C63" i="2"/>
  <c r="C104" i="2" s="1"/>
  <c r="I472" i="1"/>
  <c r="I474" i="1" s="1"/>
  <c r="G636" i="1"/>
  <c r="E33" i="13"/>
  <c r="D35" i="13"/>
  <c r="C8" i="13"/>
  <c r="I661" i="1"/>
  <c r="D63" i="2"/>
  <c r="J51" i="1"/>
  <c r="G38" i="2"/>
  <c r="L534" i="1"/>
  <c r="G626" i="1"/>
  <c r="G474" i="1"/>
  <c r="H636" i="1"/>
  <c r="J472" i="1" l="1"/>
  <c r="G638" i="1"/>
  <c r="H468" i="1"/>
  <c r="G629" i="1"/>
  <c r="J636" i="1"/>
  <c r="F549" i="1"/>
  <c r="L524" i="1"/>
  <c r="L290" i="1"/>
  <c r="E109" i="2"/>
  <c r="D12" i="13"/>
  <c r="C12" i="13" s="1"/>
  <c r="C18" i="10"/>
  <c r="C121" i="2"/>
  <c r="G628" i="1"/>
  <c r="G468" i="1"/>
  <c r="J468" i="1"/>
  <c r="G631" i="1"/>
  <c r="G646" i="1"/>
  <c r="J640" i="1"/>
  <c r="J618" i="1"/>
  <c r="F22" i="13"/>
  <c r="C29" i="10"/>
  <c r="E123" i="2"/>
  <c r="C16" i="10"/>
  <c r="H662" i="1"/>
  <c r="I662" i="1" s="1"/>
  <c r="G651" i="1"/>
  <c r="J651" i="1" s="1"/>
  <c r="H369" i="1"/>
  <c r="I367" i="1"/>
  <c r="E21" i="2"/>
  <c r="E31" i="2" s="1"/>
  <c r="H32" i="1"/>
  <c r="C9" i="12"/>
  <c r="G211" i="1"/>
  <c r="G257" i="1" s="1"/>
  <c r="G271" i="1" s="1"/>
  <c r="I663" i="1"/>
  <c r="L527" i="1"/>
  <c r="H529" i="1"/>
  <c r="H539" i="1"/>
  <c r="L538" i="1"/>
  <c r="I551" i="1" s="1"/>
  <c r="K551" i="1" s="1"/>
  <c r="C27" i="10"/>
  <c r="C39" i="10"/>
  <c r="G408" i="1"/>
  <c r="H645" i="1" s="1"/>
  <c r="J645" i="1" s="1"/>
  <c r="J257" i="1"/>
  <c r="G162" i="2"/>
  <c r="C161" i="2"/>
  <c r="K500" i="1"/>
  <c r="K434" i="1"/>
  <c r="G134" i="2" s="1"/>
  <c r="G144" i="2" s="1"/>
  <c r="G145" i="2" s="1"/>
  <c r="E130" i="2"/>
  <c r="E144" i="2" s="1"/>
  <c r="D103" i="2"/>
  <c r="D104" i="2" s="1"/>
  <c r="D31" i="2"/>
  <c r="D51" i="2" s="1"/>
  <c r="I550" i="1"/>
  <c r="I552" i="1" s="1"/>
  <c r="L351" i="1"/>
  <c r="C35" i="10"/>
  <c r="F112" i="1"/>
  <c r="F193" i="1" s="1"/>
  <c r="E122" i="2"/>
  <c r="F211" i="1"/>
  <c r="L197" i="1"/>
  <c r="B9" i="12"/>
  <c r="A13" i="12" s="1"/>
  <c r="G5" i="13"/>
  <c r="K247" i="1"/>
  <c r="K257" i="1" s="1"/>
  <c r="K271" i="1" s="1"/>
  <c r="L236" i="1"/>
  <c r="C112" i="2" s="1"/>
  <c r="L238" i="1"/>
  <c r="F247" i="1"/>
  <c r="L225" i="1"/>
  <c r="I393" i="1"/>
  <c r="I408" i="1" s="1"/>
  <c r="L392" i="1"/>
  <c r="L393" i="1" s="1"/>
  <c r="G635" i="1"/>
  <c r="J635" i="1" s="1"/>
  <c r="G623" i="1"/>
  <c r="L256" i="1"/>
  <c r="G161" i="2"/>
  <c r="C31" i="2"/>
  <c r="F56" i="2"/>
  <c r="F63" i="2" s="1"/>
  <c r="F104" i="2" s="1"/>
  <c r="I112" i="1"/>
  <c r="I193" i="1" s="1"/>
  <c r="A40" i="12"/>
  <c r="H25" i="13"/>
  <c r="C32" i="10"/>
  <c r="C131" i="2"/>
  <c r="E125" i="2"/>
  <c r="G31" i="13"/>
  <c r="C12" i="10"/>
  <c r="C111" i="2"/>
  <c r="C20" i="10"/>
  <c r="I442" i="1"/>
  <c r="F446" i="1"/>
  <c r="G639" i="1" s="1"/>
  <c r="J639" i="1" s="1"/>
  <c r="K595" i="1"/>
  <c r="K598" i="1" s="1"/>
  <c r="G647" i="1" s="1"/>
  <c r="J647" i="1" s="1"/>
  <c r="L544" i="1"/>
  <c r="J22" i="1"/>
  <c r="I452" i="1"/>
  <c r="I461" i="1" s="1"/>
  <c r="H642" i="1" s="1"/>
  <c r="E62" i="2"/>
  <c r="E63" i="2" s="1"/>
  <c r="E104" i="2" s="1"/>
  <c r="E120" i="2"/>
  <c r="E128" i="2" s="1"/>
  <c r="E110" i="2"/>
  <c r="C13" i="10"/>
  <c r="I211" i="1"/>
  <c r="I257" i="1" s="1"/>
  <c r="I271" i="1" s="1"/>
  <c r="J545" i="1"/>
  <c r="C138" i="2" l="1"/>
  <c r="C141" i="2" s="1"/>
  <c r="L408" i="1"/>
  <c r="C144" i="2"/>
  <c r="D6" i="13"/>
  <c r="C6" i="13" s="1"/>
  <c r="C15" i="10"/>
  <c r="C118" i="2"/>
  <c r="F468" i="1"/>
  <c r="G627" i="1"/>
  <c r="J271" i="1"/>
  <c r="H648" i="1"/>
  <c r="J648" i="1" s="1"/>
  <c r="C22" i="13"/>
  <c r="F33" i="13"/>
  <c r="D31" i="13"/>
  <c r="C31" i="13" s="1"/>
  <c r="L338" i="1"/>
  <c r="L352" i="1" s="1"/>
  <c r="I468" i="1"/>
  <c r="G630" i="1"/>
  <c r="C10" i="10"/>
  <c r="L211" i="1"/>
  <c r="C109" i="2"/>
  <c r="C115" i="2" s="1"/>
  <c r="D35" i="10"/>
  <c r="C41" i="10"/>
  <c r="C36" i="10"/>
  <c r="D29" i="13"/>
  <c r="C29" i="13" s="1"/>
  <c r="I369" i="1"/>
  <c r="H634" i="1" s="1"/>
  <c r="J634" i="1" s="1"/>
  <c r="H470" i="1"/>
  <c r="H629" i="1"/>
  <c r="J629" i="1"/>
  <c r="L229" i="1"/>
  <c r="G660" i="1" s="1"/>
  <c r="G664" i="1" s="1"/>
  <c r="C123" i="2"/>
  <c r="D14" i="13"/>
  <c r="C14" i="13" s="1"/>
  <c r="F257" i="1"/>
  <c r="F271" i="1" s="1"/>
  <c r="D39" i="10"/>
  <c r="H545" i="1"/>
  <c r="L247" i="1"/>
  <c r="H660" i="1" s="1"/>
  <c r="H664" i="1" s="1"/>
  <c r="F552" i="1"/>
  <c r="K549" i="1"/>
  <c r="J470" i="1"/>
  <c r="H631" i="1"/>
  <c r="H637" i="1"/>
  <c r="H628" i="1"/>
  <c r="J628" i="1" s="1"/>
  <c r="G470" i="1"/>
  <c r="G476" i="1" s="1"/>
  <c r="H623" i="1" s="1"/>
  <c r="J623" i="1" s="1"/>
  <c r="G21" i="2"/>
  <c r="G31" i="2" s="1"/>
  <c r="G51" i="2" s="1"/>
  <c r="J32" i="1"/>
  <c r="J52" i="1" s="1"/>
  <c r="H621" i="1" s="1"/>
  <c r="J13" i="1"/>
  <c r="I446" i="1"/>
  <c r="G642" i="1" s="1"/>
  <c r="J642" i="1" s="1"/>
  <c r="H33" i="13"/>
  <c r="C25" i="13"/>
  <c r="G33" i="13"/>
  <c r="D5" i="13"/>
  <c r="L539" i="1"/>
  <c r="G550" i="1"/>
  <c r="L529" i="1"/>
  <c r="L545" i="1" s="1"/>
  <c r="J631" i="1"/>
  <c r="E115" i="2"/>
  <c r="E145" i="2" s="1"/>
  <c r="J474" i="1"/>
  <c r="H638" i="1"/>
  <c r="J638" i="1" s="1"/>
  <c r="D33" i="13" l="1"/>
  <c r="D36" i="13" s="1"/>
  <c r="C5" i="13"/>
  <c r="G667" i="1"/>
  <c r="G672" i="1"/>
  <c r="C5" i="10" s="1"/>
  <c r="H630" i="1"/>
  <c r="I470" i="1"/>
  <c r="I476" i="1" s="1"/>
  <c r="F470" i="1"/>
  <c r="H627" i="1"/>
  <c r="J630" i="1"/>
  <c r="K550" i="1"/>
  <c r="K552" i="1" s="1"/>
  <c r="G552" i="1"/>
  <c r="G12" i="2"/>
  <c r="G18" i="2" s="1"/>
  <c r="J19" i="1"/>
  <c r="G621" i="1" s="1"/>
  <c r="J476" i="1"/>
  <c r="H626" i="1" s="1"/>
  <c r="J626" i="1" s="1"/>
  <c r="H667" i="1"/>
  <c r="H672" i="1"/>
  <c r="C6" i="10" s="1"/>
  <c r="D36" i="10"/>
  <c r="F660" i="1"/>
  <c r="L257" i="1"/>
  <c r="L271" i="1" s="1"/>
  <c r="H472" i="1"/>
  <c r="G633" i="1"/>
  <c r="C128" i="2"/>
  <c r="C145" i="2" s="1"/>
  <c r="G637" i="1"/>
  <c r="J637" i="1" s="1"/>
  <c r="H646" i="1"/>
  <c r="J646" i="1" s="1"/>
  <c r="J627" i="1"/>
  <c r="D37" i="10"/>
  <c r="D40" i="10"/>
  <c r="D38" i="10"/>
  <c r="D41" i="10" s="1"/>
  <c r="C28" i="10"/>
  <c r="D15" i="10" s="1"/>
  <c r="J621" i="1" l="1"/>
  <c r="H625" i="1"/>
  <c r="I41" i="1"/>
  <c r="H633" i="1"/>
  <c r="J633" i="1" s="1"/>
  <c r="H474" i="1"/>
  <c r="H476" i="1" s="1"/>
  <c r="F664" i="1"/>
  <c r="I660" i="1"/>
  <c r="I664" i="1" s="1"/>
  <c r="D23" i="10"/>
  <c r="D17" i="10"/>
  <c r="D24" i="10"/>
  <c r="D25" i="10"/>
  <c r="C30" i="10"/>
  <c r="D26" i="10"/>
  <c r="D21" i="10"/>
  <c r="D22" i="10"/>
  <c r="D19" i="10"/>
  <c r="D11" i="10"/>
  <c r="D16" i="10"/>
  <c r="D12" i="10"/>
  <c r="D27" i="10"/>
  <c r="D20" i="10"/>
  <c r="D18" i="10"/>
  <c r="D13" i="10"/>
  <c r="D10" i="10"/>
  <c r="F472" i="1"/>
  <c r="G632" i="1"/>
  <c r="H632" i="1" l="1"/>
  <c r="F474" i="1"/>
  <c r="F476" i="1" s="1"/>
  <c r="H624" i="1"/>
  <c r="H48" i="1"/>
  <c r="F667" i="1"/>
  <c r="F672" i="1"/>
  <c r="C4" i="10" s="1"/>
  <c r="D28" i="10"/>
  <c r="J632" i="1"/>
  <c r="I667" i="1"/>
  <c r="I672" i="1"/>
  <c r="C7" i="10" s="1"/>
  <c r="I51" i="1"/>
  <c r="F40" i="2"/>
  <c r="F50" i="2" s="1"/>
  <c r="F51" i="2" s="1"/>
  <c r="H51" i="1" l="1"/>
  <c r="E47" i="2"/>
  <c r="E50" i="2" s="1"/>
  <c r="E51" i="2" s="1"/>
  <c r="I52" i="1"/>
  <c r="H620" i="1" s="1"/>
  <c r="J620" i="1" s="1"/>
  <c r="G625" i="1"/>
  <c r="J625" i="1" s="1"/>
  <c r="F50" i="1"/>
  <c r="H622" i="1"/>
  <c r="F51" i="1" l="1"/>
  <c r="C49" i="2"/>
  <c r="C50" i="2" s="1"/>
  <c r="C51" i="2" s="1"/>
  <c r="H52" i="1"/>
  <c r="H619" i="1" s="1"/>
  <c r="J619" i="1" s="1"/>
  <c r="G624" i="1"/>
  <c r="J624" i="1" s="1"/>
  <c r="G622" i="1" l="1"/>
  <c r="F52" i="1"/>
  <c r="H617" i="1" s="1"/>
  <c r="J617" i="1" s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<sst xmlns="http://schemas.openxmlformats.org/spreadsheetml/2006/main" count="3956" uniqueCount="913">
  <si>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</si>
  <si>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</si>
  <si>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</si>
  <si>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</si>
  <si>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</si>
  <si>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</si>
  <si>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</si>
  <si>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</si>
  <si>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</si>
  <si>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</si>
  <si>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</si>
  <si>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</si>
  <si>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</si>
  <si>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</si>
  <si>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</si>
  <si>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</si>
  <si>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</si>
  <si>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</si>
  <si>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</si>
  <si>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</si>
  <si>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</si>
  <si>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</si>
  <si>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</si>
  <si>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</si>
  <si>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</si>
  <si>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</si>
  <si>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</si>
  <si>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</si>
  <si>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</si>
  <si>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</si>
  <si>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</si>
  <si>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</si>
  <si>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</si>
  <si>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</si>
  <si>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</si>
  <si>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</si>
  <si>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</si>
  <si>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</si>
  <si>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</si>
  <si>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</si>
  <si>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</si>
  <si>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</si>
  <si>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</si>
  <si>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</si>
  <si>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</si>
  <si>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</si>
  <si>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</si>
  <si>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</si>
  <si>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</si>
  <si>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</si>
  <si>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</si>
  <si>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</si>
  <si>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</si>
  <si>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</si>
  <si>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</si>
  <si>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</si>
  <si>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</si>
  <si>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</si>
  <si>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</si>
  <si>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</si>
  <si>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</si>
  <si>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</si>
  <si>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</si>
  <si>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</si>
  <si>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</si>
  <si>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</si>
  <si>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</si>
  <si>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</si>
  <si>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</si>
  <si>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</si>
  <si>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</si>
  <si>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</si>
  <si>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</si>
  <si>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</si>
  <si>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</si>
  <si>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</si>
  <si>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</si>
  <si>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</si>
  <si>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</si>
  <si>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</si>
  <si>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</si>
  <si>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</si>
  <si>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</si>
  <si>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</si>
  <si>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</si>
  <si>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</si>
  <si>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</si>
  <si>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</si>
  <si>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</si>
  <si>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</si>
  <si>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</si>
  <si>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</si>
  <si>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</si>
  <si>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</si>
  <si>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</si>
  <si>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</si>
  <si>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</si>
  <si>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</si>
  <si>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</si>
  <si>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</si>
  <si>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</si>
  <si>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</si>
  <si>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</si>
  <si>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</si>
  <si>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</si>
  <si>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</si>
  <si>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</si>
  <si>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</si>
  <si>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</si>
  <si>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</si>
  <si>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</si>
  <si>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</si>
  <si>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</si>
  <si>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</si>
  <si>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</si>
  <si>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</si>
  <si>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</si>
  <si>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</si>
  <si>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</si>
  <si>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</si>
  <si>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</si>
  <si>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</si>
  <si>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</si>
  <si>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</si>
  <si>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</si>
  <si>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</si>
  <si>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</si>
  <si>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</si>
  <si>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</si>
  <si>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</si>
  <si>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</si>
  <si>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</si>
  <si>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</si>
  <si>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</si>
  <si>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</si>
  <si>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</si>
  <si>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</si>
  <si>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</si>
  <si>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</si>
  <si>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</si>
  <si>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</si>
  <si>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</si>
  <si>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</si>
  <si>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</si>
  <si>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</si>
  <si>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</si>
  <si>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</si>
  <si>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</si>
  <si>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</si>
  <si>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</si>
  <si>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</si>
  <si>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</si>
  <si>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</si>
  <si>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</si>
  <si>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</si>
  <si>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</si>
  <si>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</si>
  <si>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</si>
  <si>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</si>
  <si>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</si>
  <si>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</si>
  <si>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</si>
  <si>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</si>
  <si>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</si>
  <si>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</si>
  <si>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</si>
  <si>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</si>
  <si>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</si>
  <si>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</si>
  <si>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</si>
  <si>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</si>
  <si>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</si>
  <si>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</si>
  <si>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</si>
  <si>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</si>
  <si>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</si>
  <si>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</si>
  <si>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</si>
  <si>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</si>
  <si>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</si>
  <si>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</si>
  <si>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</si>
  <si>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</si>
  <si>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</si>
  <si>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</si>
  <si>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</si>
  <si>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</si>
  <si>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</si>
  <si>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</si>
  <si>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</si>
  <si>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</si>
  <si>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</si>
  <si>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</si>
  <si>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</si>
  <si>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</si>
  <si>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</si>
  <si>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</si>
  <si>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</si>
  <si>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</si>
  <si>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</si>
  <si>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</si>
  <si>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</si>
  <si>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</si>
  <si>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</si>
  <si>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</si>
  <si>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</si>
  <si>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</si>
  <si>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</si>
  <si>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</si>
  <si>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</si>
  <si>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</si>
  <si>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</si>
  <si>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</si>
  <si>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</si>
  <si>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</si>
  <si>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</si>
  <si>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</si>
  <si>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</si>
  <si>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</si>
  <si>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</si>
  <si>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</si>
  <si>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</si>
  <si>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</si>
  <si>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</si>
  <si>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</si>
  <si>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</si>
  <si>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</si>
  <si>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</si>
  <si>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</si>
  <si>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</si>
  <si>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</si>
  <si>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</si>
  <si>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</si>
  <si>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</si>
  <si>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</si>
  <si>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</si>
  <si>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</si>
  <si>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</si>
  <si>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</si>
  <si>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</si>
  <si>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</si>
  <si>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</si>
  <si>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</si>
  <si>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</si>
  <si>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</si>
  <si>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</si>
  <si>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</si>
  <si>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</si>
  <si>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</si>
  <si>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</si>
  <si>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</si>
  <si>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</si>
  <si>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</si>
  <si>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</si>
  <si>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</si>
  <si>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</si>
  <si>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</si>
  <si>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</si>
  <si>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</si>
  <si>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</si>
  <si>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</si>
  <si>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</si>
  <si>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</si>
  <si>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</si>
  <si>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</si>
  <si>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</si>
  <si>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</si>
  <si>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</si>
  <si>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</si>
  <si>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</si>
  <si>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</si>
  <si>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</si>
  <si>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</si>
  <si>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</si>
  <si>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</si>
  <si>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</si>
  <si>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</si>
  <si>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</si>
  <si>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</si>
  <si>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</si>
  <si>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</si>
  <si>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</si>
  <si>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</si>
  <si>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</si>
  <si>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</si>
  <si>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</si>
  <si>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</si>
  <si>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</si>
  <si>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</si>
  <si>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</si>
  <si>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</si>
  <si>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</si>
  <si>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</si>
  <si>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</si>
  <si>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</si>
  <si>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</si>
  <si>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</si>
  <si>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</si>
  <si>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</si>
  <si>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</si>
  <si>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</si>
  <si>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</si>
  <si>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</si>
  <si>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</si>
  <si>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</si>
  <si>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</si>
  <si>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</si>
  <si>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</si>
  <si>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</si>
  <si>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</si>
  <si>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</si>
  <si>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</si>
  <si>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</si>
  <si>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</si>
  <si>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</si>
  <si>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</si>
  <si>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</si>
  <si>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</si>
  <si>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</si>
  <si>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</si>
  <si>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</si>
  <si>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</si>
  <si>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</si>
  <si>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</si>
  <si>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</si>
  <si>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</si>
  <si>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</si>
  <si>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</si>
  <si>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</si>
  <si>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</si>
  <si>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</si>
  <si>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</si>
  <si>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</si>
  <si>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</si>
  <si>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</si>
  <si>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</si>
  <si>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</si>
  <si>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</si>
  <si>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</si>
  <si>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</si>
  <si>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</si>
  <si>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</si>
  <si>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</si>
  <si>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</si>
  <si>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</si>
  <si>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</si>
  <si>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</si>
  <si>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</si>
  <si>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</si>
  <si>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</si>
  <si>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</si>
  <si>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</si>
  <si>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</si>
  <si>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</si>
  <si>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</si>
  <si>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</si>
  <si>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</si>
  <si>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</si>
  <si>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</si>
  <si>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</si>
  <si>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</si>
  <si>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</si>
  <si>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</si>
  <si>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</si>
  <si>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</si>
  <si>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</si>
  <si>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</si>
  <si>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</si>
  <si>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</si>
  <si>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</si>
  <si>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</si>
  <si>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</si>
  <si>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</si>
  <si>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</si>
  <si>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</si>
  <si>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</si>
  <si>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</si>
  <si>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</si>
  <si>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</si>
  <si>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</si>
  <si>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</si>
  <si>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</si>
  <si>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</si>
  <si>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</si>
  <si>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</si>
  <si>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</si>
  <si>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</si>
  <si>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</si>
  <si>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</si>
  <si>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</si>
  <si>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</si>
  <si>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</si>
  <si>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</si>
  <si>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</si>
  <si>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</si>
  <si>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</si>
  <si>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</si>
  <si>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</si>
  <si>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</si>
  <si>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</si>
  <si>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</si>
  <si>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</si>
  <si>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</si>
  <si>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</si>
  <si>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</si>
  <si>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</si>
  <si>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</si>
  <si>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</si>
  <si>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</si>
  <si>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</si>
  <si>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</si>
  <si>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</si>
  <si>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</si>
  <si>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</si>
  <si>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</si>
  <si>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</si>
  <si>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</si>
  <si>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</si>
  <si>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</si>
  <si>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</si>
  <si>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</si>
  <si>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</si>
  <si>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</si>
  <si>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</si>
  <si>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</si>
  <si>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</si>
  <si>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</si>
  <si>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</si>
  <si>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</si>
  <si>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</si>
  <si>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</si>
  <si>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</si>
  <si>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</si>
  <si>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</si>
  <si>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</si>
  <si>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</si>
  <si>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</si>
  <si>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</si>
  <si>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</si>
  <si>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</si>
  <si>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</si>
  <si>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</si>
  <si>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</si>
  <si>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</si>
  <si>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</si>
  <si>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</si>
  <si>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</si>
  <si>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</si>
  <si>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</si>
  <si>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</si>
  <si>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</si>
  <si>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</si>
  <si>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</si>
  <si>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</si>
  <si>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</si>
  <si>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</si>
  <si>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</si>
  <si>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</si>
  <si>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</si>
  <si>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</si>
  <si>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</si>
  <si>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</si>
  <si>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</si>
  <si>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</si>
  <si>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</si>
  <si>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</si>
  <si>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</si>
  <si>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</si>
  <si>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</si>
  <si>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</si>
  <si>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</si>
  <si>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</si>
  <si>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</si>
  <si>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</si>
  <si>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</si>
  <si>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</si>
  <si>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</si>
  <si>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</si>
  <si>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</si>
  <si>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</si>
  <si>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</si>
  <si>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</si>
  <si>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</si>
  <si>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</si>
  <si>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</si>
  <si>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</si>
  <si>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</si>
  <si>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</si>
  <si>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</si>
  <si>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</si>
  <si>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</si>
  <si>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</si>
  <si>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</si>
  <si>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</si>
  <si>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</si>
  <si>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</si>
  <si>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</si>
  <si>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</si>
  <si>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</si>
  <si>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</si>
  <si>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</si>
  <si>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</si>
  <si>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</si>
  <si>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</si>
  <si>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</si>
  <si>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</si>
  <si>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</si>
  <si>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</si>
  <si>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</si>
  <si>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</si>
  <si>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</si>
  <si>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</si>
  <si>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</si>
  <si>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</si>
  <si>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</si>
  <si>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</si>
  <si>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</si>
  <si>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</si>
  <si>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</si>
  <si>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</si>
  <si>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</si>
  <si>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</si>
  <si>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</si>
  <si>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</si>
  <si>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</si>
  <si>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</si>
  <si>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</si>
  <si>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</si>
  <si>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</si>
  <si>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</si>
  <si>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</si>
  <si>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</si>
  <si>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</si>
  <si>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</si>
  <si>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</si>
  <si>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</si>
  <si>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</si>
  <si>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</si>
  <si>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</si>
  <si>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</si>
  <si>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</si>
  <si>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</si>
  <si>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</si>
  <si>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</si>
  <si>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</si>
  <si>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</si>
  <si>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</si>
  <si>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</si>
  <si>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</si>
  <si>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</si>
  <si>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</si>
  <si>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</si>
  <si>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</si>
  <si>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</si>
  <si>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</si>
  <si>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</si>
  <si>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</si>
  <si>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</si>
  <si>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</si>
  <si>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</si>
  <si>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</si>
  <si>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</si>
  <si>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</si>
  <si>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</si>
  <si>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</si>
  <si>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</si>
  <si>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</si>
  <si>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</si>
  <si>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</si>
  <si>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</si>
  <si>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</si>
  <si>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</si>
  <si>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</si>
  <si>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</si>
  <si>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</si>
  <si>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</si>
  <si>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</si>
  <si>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</si>
  <si>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</si>
  <si>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</si>
  <si>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</si>
  <si>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</si>
  <si>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</si>
  <si>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</si>
  <si>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</si>
  <si>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</si>
  <si>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</si>
  <si>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</si>
  <si>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</si>
  <si>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</si>
  <si>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</si>
  <si>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</si>
  <si>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</si>
  <si>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</si>
  <si>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</si>
  <si>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</si>
  <si>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</si>
  <si>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</si>
  <si>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</si>
  <si>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</si>
  <si>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</si>
  <si>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</si>
  <si>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</si>
  <si>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</si>
  <si>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</si>
  <si>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</si>
  <si>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</si>
  <si>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</si>
  <si>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</si>
  <si>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</si>
  <si>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</si>
  <si>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</si>
  <si>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</si>
  <si>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</si>
  <si>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</si>
  <si>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</si>
  <si>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</si>
  <si>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</si>
  <si>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</si>
  <si>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</si>
  <si>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</si>
  <si>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</si>
  <si>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</si>
  <si>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</si>
  <si>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</si>
  <si>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</si>
  <si>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</si>
  <si>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</si>
  <si>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</si>
  <si>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</si>
  <si>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</si>
  <si>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</si>
  <si>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</si>
  <si>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</si>
  <si>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</si>
  <si>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</si>
  <si>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</si>
  <si>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</si>
  <si>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</si>
  <si>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</si>
  <si>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</si>
  <si>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</si>
  <si>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</si>
  <si>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</si>
  <si>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</si>
  <si>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</si>
  <si>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</si>
  <si>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</si>
  <si>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</si>
  <si>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</si>
  <si>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</si>
  <si>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</si>
  <si>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</si>
  <si>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</si>
  <si>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</si>
  <si>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</si>
  <si>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</si>
  <si>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</si>
  <si>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</si>
  <si>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</si>
  <si>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</si>
  <si>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</si>
  <si>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</si>
  <si>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</si>
  <si>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</si>
  <si>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</si>
  <si>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</si>
  <si>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</si>
  <si>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</si>
  <si>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</si>
  <si>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</si>
  <si>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</si>
  <si>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</si>
  <si>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</si>
  <si>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</si>
  <si>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</si>
  <si>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</si>
  <si>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</si>
  <si>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</si>
  <si>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</si>
  <si>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</si>
  <si>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</si>
  <si>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</si>
  <si>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</si>
  <si>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</si>
  <si>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</si>
  <si>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</si>
  <si>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</si>
  <si>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</si>
  <si>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</si>
  <si>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</si>
  <si>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</si>
  <si>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</si>
  <si>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</si>
  <si>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</si>
  <si>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</si>
  <si>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</si>
  <si>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</si>
  <si>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</si>
  <si>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</si>
  <si>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</si>
  <si>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</si>
  <si>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</si>
  <si>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</si>
  <si>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</si>
  <si>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</si>
  <si>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</si>
  <si>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</si>
  <si>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</si>
  <si>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</si>
  <si>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</si>
  <si>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</si>
  <si>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</si>
  <si>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</si>
  <si>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</si>
  <si>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</si>
  <si>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</si>
  <si>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</si>
  <si>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</si>
  <si>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</si>
  <si>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</si>
  <si>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</si>
  <si>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</si>
  <si>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</si>
  <si>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</si>
  <si>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</si>
  <si>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</si>
  <si>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</si>
  <si>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</si>
  <si>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</si>
  <si>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</si>
  <si>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</si>
  <si>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</si>
  <si>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</si>
  <si>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</si>
  <si>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</si>
  <si>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</si>
  <si>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</si>
  <si>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</si>
  <si>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</si>
  <si>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</si>
  <si>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</si>
  <si>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</si>
  <si>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</si>
  <si>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</si>
  <si>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</si>
  <si>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</si>
  <si>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</si>
  <si>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</si>
  <si>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</si>
  <si>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</si>
  <si>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</si>
  <si>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</si>
  <si>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</si>
  <si>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</si>
  <si>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</si>
  <si>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</si>
  <si>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</si>
  <si>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</si>
  <si>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</si>
  <si>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</si>
  <si>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</si>
  <si>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</si>
  <si>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</si>
  <si>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</si>
  <si>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</si>
  <si>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</si>
  <si>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</si>
  <si>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</si>
  <si>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</si>
  <si>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</si>
  <si>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</si>
  <si>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</si>
  <si>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</si>
  <si>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</si>
  <si>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</si>
  <si>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</si>
  <si>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</si>
  <si>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</si>
  <si>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</si>
  <si>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</si>
  <si>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</si>
  <si>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</si>
  <si>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</si>
  <si>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</si>
  <si>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</si>
  <si>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</si>
  <si>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</si>
  <si>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</si>
  <si>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</si>
  <si>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</si>
  <si>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</si>
  <si>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</si>
  <si>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</si>
  <si>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</si>
  <si>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</si>
  <si>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</si>
  <si>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</si>
  <si>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</si>
  <si>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</si>
  <si>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</si>
  <si>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</si>
  <si>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</si>
  <si>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</si>
  <si>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</si>
  <si>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</si>
  <si>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</si>
  <si>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</si>
  <si>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</si>
  <si>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</si>
  <si>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</si>
  <si>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</si>
  <si>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</si>
  <si>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</si>
  <si>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</si>
  <si>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</si>
  <si>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</si>
  <si>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</si>
  <si>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</si>
  <si>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</si>
  <si>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</si>
  <si>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</si>
  <si>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</si>
  <si>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</si>
  <si>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</si>
  <si>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</si>
  <si>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</si>
  <si>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</si>
  <si>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</si>
  <si>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</si>
  <si>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</si>
  <si>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</si>
  <si>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</si>
  <si>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</si>
  <si>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</si>
  <si>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</si>
  <si>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</si>
  <si>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</si>
  <si>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</si>
  <si>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</si>
  <si>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</si>
  <si>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</si>
  <si>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</si>
  <si>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</si>
  <si>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</si>
  <si>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</si>
  <si>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</si>
  <si>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</si>
  <si>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</si>
  <si>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</si>
  <si>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</si>
  <si>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</si>
  <si>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</si>
  <si>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</si>
  <si>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</si>
  <si>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</si>
  <si>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</si>
  <si>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</si>
  <si>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</si>
  <si>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</si>
  <si>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</si>
  <si>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</si>
  <si>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</si>
  <si>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</si>
  <si>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</si>
  <si>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</si>
  <si>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</si>
  <si>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</si>
  <si>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</si>
  <si>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</si>
  <si>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</si>
  <si>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</si>
  <si>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</si>
  <si>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</si>
  <si>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</si>
  <si>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</si>
  <si>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</si>
  <si>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</si>
  <si>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</si>
  <si>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</si>
  <si>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</si>
  <si>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</si>
  <si>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</si>
  <si>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</si>
  <si>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</si>
  <si>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</si>
  <si>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</si>
  <si>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</si>
  <si>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</si>
  <si>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</si>
  <si>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</si>
  <si>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</si>
  <si>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</si>
  <si>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</si>
  <si>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</si>
  <si>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</si>
  <si>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</si>
  <si>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</si>
  <si>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</si>
  <si>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</si>
  <si>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</si>
  <si>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</si>
  <si>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</si>
  <si>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</si>
  <si>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</si>
  <si>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</si>
  <si>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</si>
  <si>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</si>
  <si>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</si>
  <si>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</si>
  <si>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</si>
  <si>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</si>
  <si>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MERRIMACK VALLEY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</si>
</sst>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/>
      <c r="C2" s="21"/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1995140</v>
      </c>
      <c r="G9" s="18">
        <v>26365</v>
      </c>
      <c r="H9" s="18">
        <v>0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0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f>2349+32499</f>
        <v>34848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0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0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353969</v>
      </c>
      <c r="G12" s="18">
        <v>14328</v>
      </c>
      <c r="H12" s="18">
        <f>14588+14524</f>
        <v>29112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0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202934</v>
      </c>
      <c r="G13" s="18">
        <v>47533</v>
      </c>
      <c r="H13" s="18">
        <f>313681</f>
        <v>313681</v>
      </c>
      <c r="I13" s="18"/>
      <c r="J13" s="67">
        <f>SUM(I442)</f>
        <v>585680</v>
      </c>
      <c r="K13" s="24" t="s">
        <v>288</v>
      </c>
      <c r="L13" s="24" t="s">
        <v>288</v>
      </c>
      <c r="M13" s="8"/>
      <c r="N13" s="270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f>2+63649+25036+1267-491</f>
        <v>89463</v>
      </c>
      <c r="G14" s="18">
        <v>5085</v>
      </c>
      <c r="H14" s="18">
        <f>1964-420+14790</f>
        <v>16334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0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0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33952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0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0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0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2676354</v>
      </c>
      <c r="G19" s="41">
        <f>SUM(G9:G18)</f>
        <v>127263</v>
      </c>
      <c r="H19" s="41">
        <f>SUM(H9:H18)</f>
        <v>359127</v>
      </c>
      <c r="I19" s="41">
        <f>SUM(I9:I18)</f>
        <v>0</v>
      </c>
      <c r="J19" s="41">
        <f>SUM(J9:J18)</f>
        <v>585680</v>
      </c>
      <c r="K19" s="45" t="s">
        <v>288</v>
      </c>
      <c r="L19" s="45" t="s">
        <v>288</v>
      </c>
      <c r="M19" s="8"/>
      <c r="N19" s="270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0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14328</v>
      </c>
      <c r="G22" s="18">
        <v>86593</v>
      </c>
      <c r="H22" s="18">
        <f>285375+11113</f>
        <v>296488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0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0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185048</v>
      </c>
      <c r="G24" s="18">
        <v>40670</v>
      </c>
      <c r="H24" s="18">
        <f>7+7825</f>
        <v>7832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0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0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0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0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1597939+69398</f>
        <v>1667337</v>
      </c>
      <c r="G28" s="18"/>
      <c r="H28" s="18">
        <v>41508</v>
      </c>
      <c r="I28" s="18"/>
      <c r="J28" s="24" t="s">
        <v>288</v>
      </c>
      <c r="K28" s="24" t="s">
        <v>288</v>
      </c>
      <c r="L28" s="24" t="s">
        <v>288</v>
      </c>
      <c r="M28" s="8"/>
      <c r="N28" s="270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380-297+22214+150+14+645-2529</f>
        <v>20577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0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75282</v>
      </c>
      <c r="G30" s="18"/>
      <c r="H30" s="18">
        <f>64144+4778</f>
        <v>68922</v>
      </c>
      <c r="I30" s="18"/>
      <c r="J30" s="24" t="s">
        <v>288</v>
      </c>
      <c r="K30" s="24" t="s">
        <v>288</v>
      </c>
      <c r="L30" s="24" t="s">
        <v>288</v>
      </c>
      <c r="M30" s="8"/>
      <c r="N30" s="270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0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1962572</v>
      </c>
      <c r="G32" s="41">
        <f>SUM(G22:G31)</f>
        <v>127263</v>
      </c>
      <c r="H32" s="41">
        <f>SUM(H22:H31)</f>
        <v>414750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0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0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0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33952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0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0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0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0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0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0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>
        <f>I476</f>
        <v>0</v>
      </c>
      <c r="J41" s="24" t="s">
        <v>288</v>
      </c>
      <c r="K41" s="24" t="s">
        <v>288</v>
      </c>
      <c r="L41" s="24" t="s">
        <v>288</v>
      </c>
      <c r="M41" s="8"/>
      <c r="N41" s="270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0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0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0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0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0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0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-33952</v>
      </c>
      <c r="H48" s="18">
        <f>H476</f>
        <v>-55623</v>
      </c>
      <c r="I48" s="18"/>
      <c r="J48" s="13">
        <f>SUM(I459)</f>
        <v>585680</v>
      </c>
      <c r="K48" s="24" t="s">
        <v>288</v>
      </c>
      <c r="L48" s="24" t="s">
        <v>288</v>
      </c>
      <c r="M48" s="8"/>
      <c r="N48" s="270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F476</f>
        <v>713782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0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713782</v>
      </c>
      <c r="G51" s="41">
        <f>SUM(G35:G50)</f>
        <v>0</v>
      </c>
      <c r="H51" s="41">
        <f>SUM(H35:H50)</f>
        <v>-55623</v>
      </c>
      <c r="I51" s="41">
        <f>SUM(I35:I50)</f>
        <v>0</v>
      </c>
      <c r="J51" s="41">
        <f>SUM(J35:J50)</f>
        <v>585680</v>
      </c>
      <c r="K51" s="45" t="s">
        <v>288</v>
      </c>
      <c r="L51" s="45" t="s">
        <v>288</v>
      </c>
      <c r="N51" s="181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2676354</v>
      </c>
      <c r="G52" s="41">
        <f>G51+G32</f>
        <v>127263</v>
      </c>
      <c r="H52" s="41">
        <f>H51+H32</f>
        <v>359127</v>
      </c>
      <c r="I52" s="41">
        <f>I51+I32</f>
        <v>0</v>
      </c>
      <c r="J52" s="41">
        <f>J51+J32</f>
        <v>585680</v>
      </c>
      <c r="K52" s="45" t="s">
        <v>288</v>
      </c>
      <c r="L52" s="45" t="s">
        <v>288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0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0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0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6898608+3443795+6917500+1697884+2541773+202934</f>
        <v>21702494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0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0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63613</v>
      </c>
      <c r="G59" s="18"/>
      <c r="H59" s="18"/>
      <c r="I59" s="18"/>
      <c r="J59" s="18"/>
      <c r="K59" s="24" t="s">
        <v>288</v>
      </c>
      <c r="L59" s="24" t="s">
        <v>288</v>
      </c>
      <c r="M59" s="31"/>
      <c r="N59" s="271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21766107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1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0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0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0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0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1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0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0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745428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0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100796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0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0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0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0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0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0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0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0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0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181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846224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0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0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0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0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0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0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0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0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0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0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0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0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0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0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0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236</v>
      </c>
      <c r="G96" s="18">
        <v>12</v>
      </c>
      <c r="H96" s="18"/>
      <c r="I96" s="18"/>
      <c r="J96" s="18">
        <f>2580+6636</f>
        <v>9216</v>
      </c>
      <c r="K96" s="24" t="s">
        <v>288</v>
      </c>
      <c r="L96" s="24" t="s">
        <v>288</v>
      </c>
      <c r="M96" s="8"/>
      <c r="N96" s="270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48407+25591+45978+13368+16235+157670+314691</f>
        <v>621940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0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0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0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0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37170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0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0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0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0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0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0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0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0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0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63613+83591-1-1035-63613</f>
        <v>82555</v>
      </c>
      <c r="G110" s="18">
        <v>20695</v>
      </c>
      <c r="H110" s="18">
        <v>100</v>
      </c>
      <c r="I110" s="18"/>
      <c r="J110" s="18">
        <v>4818</v>
      </c>
      <c r="K110" s="24" t="s">
        <v>288</v>
      </c>
      <c r="L110" s="24" t="s">
        <v>288</v>
      </c>
      <c r="M110" s="8"/>
      <c r="N110" s="270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119961</v>
      </c>
      <c r="G111" s="41">
        <f>SUM(G96:G110)</f>
        <v>642647</v>
      </c>
      <c r="H111" s="41">
        <f>SUM(H96:H110)</f>
        <v>100</v>
      </c>
      <c r="I111" s="41">
        <f>SUM(I96:I110)</f>
        <v>0</v>
      </c>
      <c r="J111" s="41">
        <f>SUM(J96:J110)</f>
        <v>14034</v>
      </c>
      <c r="K111" s="45" t="s">
        <v>288</v>
      </c>
      <c r="L111" s="45" t="s">
        <v>288</v>
      </c>
      <c r="N111" s="181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22732292</v>
      </c>
      <c r="G112" s="41">
        <f>G60+G111</f>
        <v>642647</v>
      </c>
      <c r="H112" s="41">
        <f>H60+H79+H94+H111</f>
        <v>100</v>
      </c>
      <c r="I112" s="41">
        <f>I60+I111</f>
        <v>0</v>
      </c>
      <c r="J112" s="41">
        <f>J60+J111</f>
        <v>14034</v>
      </c>
      <c r="K112" s="45" t="s">
        <v>288</v>
      </c>
      <c r="L112" s="45" t="s">
        <v>288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0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10236884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0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3175552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0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0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1035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0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13413471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0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0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17704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0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0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283182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0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0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24252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0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0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0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0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43407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0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0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0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325138</v>
      </c>
      <c r="G136" s="41">
        <f>SUM(G123:G135)</f>
        <v>43407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0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0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0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0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13738609</v>
      </c>
      <c r="G140" s="41">
        <f>G121+SUM(G136:G137)</f>
        <v>43407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0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0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0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0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0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0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0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>
        <v>-24693</v>
      </c>
      <c r="I151" s="18"/>
      <c r="J151" s="24" t="s">
        <v>288</v>
      </c>
      <c r="K151" s="24" t="s">
        <v>288</v>
      </c>
      <c r="L151" s="24" t="s">
        <v>288</v>
      </c>
      <c r="M151" s="8"/>
      <c r="N151" s="270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0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0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488070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0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0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0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0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0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370702+29504</f>
        <v>400206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0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518069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0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421203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0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f>221572+5701</f>
        <v>227273</v>
      </c>
      <c r="I161" s="18"/>
      <c r="J161" s="24" t="s">
        <v>288</v>
      </c>
      <c r="K161" s="24" t="s">
        <v>288</v>
      </c>
      <c r="L161" s="24" t="s">
        <v>288</v>
      </c>
      <c r="M161" s="8"/>
      <c r="N161" s="270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421203</v>
      </c>
      <c r="G162" s="41">
        <f>SUM(G150:G161)</f>
        <v>400206</v>
      </c>
      <c r="H162" s="41">
        <f>SUM(H150:H161)</f>
        <v>1208719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0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0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0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0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0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0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0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421203</v>
      </c>
      <c r="G169" s="41">
        <f>G147+G162+SUM(G163:G168)</f>
        <v>400206</v>
      </c>
      <c r="H169" s="41">
        <f>H147+H162+SUM(H163:H168)</f>
        <v>1208719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0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0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0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0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0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0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14328</v>
      </c>
      <c r="H179" s="18"/>
      <c r="I179" s="18"/>
      <c r="J179" s="18"/>
      <c r="K179" s="24" t="s">
        <v>288</v>
      </c>
      <c r="L179" s="24" t="s">
        <v>288</v>
      </c>
      <c r="M179" s="8"/>
      <c r="N179" s="270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0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0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0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14328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0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0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0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0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181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181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0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0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0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14328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0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36892104</v>
      </c>
      <c r="G193" s="47">
        <f>G112+G140+G169+G192</f>
        <v>1100588</v>
      </c>
      <c r="H193" s="47">
        <f>H112+H140+H169+H192</f>
        <v>1208819</v>
      </c>
      <c r="I193" s="47">
        <f>I112+I140+I169+I192</f>
        <v>0</v>
      </c>
      <c r="J193" s="47">
        <f>J112+J140+J192</f>
        <v>14034</v>
      </c>
      <c r="K193" s="45" t="s">
        <v>288</v>
      </c>
      <c r="L193" s="45" t="s">
        <v>288</v>
      </c>
      <c r="M193" s="8"/>
      <c r="N193" s="270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0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0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4386895+126936</f>
        <v>4513831</v>
      </c>
      <c r="G197" s="18">
        <f>40017+1797010+29605</f>
        <v>1866632</v>
      </c>
      <c r="H197" s="18">
        <v>7123</v>
      </c>
      <c r="I197" s="18">
        <f>93386+78803</f>
        <v>172189</v>
      </c>
      <c r="J197" s="18">
        <v>29282</v>
      </c>
      <c r="K197" s="18">
        <v>0</v>
      </c>
      <c r="L197" s="19">
        <f>SUM(F197:K197)</f>
        <v>6589057</v>
      </c>
      <c r="M197" s="8"/>
      <c r="N197" s="270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1654459+77863</f>
        <v>1732322</v>
      </c>
      <c r="G198" s="18">
        <v>838936</v>
      </c>
      <c r="H198" s="18">
        <f>546477+95997</f>
        <v>642474</v>
      </c>
      <c r="I198" s="18">
        <f>3144+1477</f>
        <v>4621</v>
      </c>
      <c r="J198" s="18">
        <v>1143</v>
      </c>
      <c r="K198" s="18">
        <v>0</v>
      </c>
      <c r="L198" s="19">
        <f>SUM(F198:K198)</f>
        <v>3219496</v>
      </c>
      <c r="M198" s="8"/>
      <c r="N198" s="270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22259</v>
      </c>
      <c r="G200" s="18">
        <v>39868</v>
      </c>
      <c r="H200" s="18">
        <v>0</v>
      </c>
      <c r="I200" s="18">
        <v>0</v>
      </c>
      <c r="J200" s="18">
        <v>0</v>
      </c>
      <c r="K200" s="18">
        <v>139</v>
      </c>
      <c r="L200" s="19">
        <f>SUM(F200:K200)</f>
        <v>62266</v>
      </c>
      <c r="M200" s="8"/>
      <c r="N200" s="270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0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632362+425521</f>
        <v>1057883</v>
      </c>
      <c r="G202" s="18">
        <v>511040</v>
      </c>
      <c r="H202" s="18">
        <f>285530+25276</f>
        <v>310806</v>
      </c>
      <c r="I202" s="18">
        <v>5646</v>
      </c>
      <c r="J202" s="18">
        <v>186</v>
      </c>
      <c r="K202" s="18">
        <v>768</v>
      </c>
      <c r="L202" s="19">
        <f t="shared" ref="L202:L208" si="0">SUM(F202:K202)</f>
        <v>1886329</v>
      </c>
      <c r="M202" s="8"/>
      <c r="N202" s="270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92496+185937</f>
        <v>278433</v>
      </c>
      <c r="G203" s="18">
        <v>163139</v>
      </c>
      <c r="H203" s="18">
        <f>198+50064</f>
        <v>50262</v>
      </c>
      <c r="I203" s="18">
        <f>8095+13095</f>
        <v>21190</v>
      </c>
      <c r="J203" s="18">
        <v>68512</v>
      </c>
      <c r="K203" s="18">
        <v>0</v>
      </c>
      <c r="L203" s="19">
        <f t="shared" si="0"/>
        <v>581536</v>
      </c>
      <c r="M203" s="8"/>
      <c r="N203" s="270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20736</v>
      </c>
      <c r="G204" s="18">
        <v>9322</v>
      </c>
      <c r="H204" s="18">
        <f>500+380081</f>
        <v>380581</v>
      </c>
      <c r="I204" s="18">
        <v>2473</v>
      </c>
      <c r="J204" s="18">
        <v>0</v>
      </c>
      <c r="K204" s="18">
        <v>2381</v>
      </c>
      <c r="L204" s="19">
        <f t="shared" si="0"/>
        <v>415493</v>
      </c>
      <c r="M204" s="8"/>
      <c r="N204" s="270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620049</v>
      </c>
      <c r="G205" s="18">
        <v>227525</v>
      </c>
      <c r="H205" s="18">
        <v>27585</v>
      </c>
      <c r="I205" s="18">
        <f>843+3458</f>
        <v>4301</v>
      </c>
      <c r="J205" s="18">
        <v>23471</v>
      </c>
      <c r="K205" s="18">
        <v>4099</v>
      </c>
      <c r="L205" s="19">
        <f t="shared" si="0"/>
        <v>907030</v>
      </c>
      <c r="M205" s="8"/>
      <c r="N205" s="270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397111+229159</f>
        <v>626270</v>
      </c>
      <c r="G207" s="18">
        <v>257397</v>
      </c>
      <c r="H207" s="18">
        <f>136086+167381</f>
        <v>303467</v>
      </c>
      <c r="I207" s="18">
        <f>400474+49347</f>
        <v>449821</v>
      </c>
      <c r="J207" s="18">
        <v>43731</v>
      </c>
      <c r="K207" s="18">
        <v>0</v>
      </c>
      <c r="L207" s="19">
        <f t="shared" si="0"/>
        <v>1680686</v>
      </c>
      <c r="M207" s="8"/>
      <c r="N207" s="270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46466+407376-1</f>
        <v>453841</v>
      </c>
      <c r="G208" s="18">
        <v>154948</v>
      </c>
      <c r="H208" s="18">
        <v>152946</v>
      </c>
      <c r="I208" s="18">
        <v>80370</v>
      </c>
      <c r="J208" s="18">
        <v>98951</v>
      </c>
      <c r="K208" s="18">
        <v>262</v>
      </c>
      <c r="L208" s="19">
        <f t="shared" si="0"/>
        <v>941318</v>
      </c>
      <c r="M208" s="8"/>
      <c r="N208" s="270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0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9325624</v>
      </c>
      <c r="G211" s="41">
        <f t="shared" si="1"/>
        <v>4068807</v>
      </c>
      <c r="H211" s="41">
        <f t="shared" si="1"/>
        <v>1875244</v>
      </c>
      <c r="I211" s="41">
        <f t="shared" si="1"/>
        <v>740611</v>
      </c>
      <c r="J211" s="41">
        <f t="shared" si="1"/>
        <v>265276</v>
      </c>
      <c r="K211" s="41">
        <f t="shared" si="1"/>
        <v>7649</v>
      </c>
      <c r="L211" s="41">
        <f t="shared" si="1"/>
        <v>16283211</v>
      </c>
      <c r="M211" s="8"/>
      <c r="N211" s="270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0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0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2300170+69985</f>
        <v>2370155</v>
      </c>
      <c r="G215" s="18">
        <f>990769+16322</f>
        <v>1007091</v>
      </c>
      <c r="H215" s="18">
        <v>4757</v>
      </c>
      <c r="I215" s="18">
        <f>25939+43447</f>
        <v>69386</v>
      </c>
      <c r="J215" s="18">
        <v>36949</v>
      </c>
      <c r="K215" s="18"/>
      <c r="L215" s="19">
        <f>SUM(F215:K215)</f>
        <v>3488338</v>
      </c>
      <c r="M215" s="8"/>
      <c r="N215" s="270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892060+42929</f>
        <v>934989</v>
      </c>
      <c r="G216" s="18">
        <v>462542</v>
      </c>
      <c r="H216" s="18">
        <f>243512+52927</f>
        <v>296439</v>
      </c>
      <c r="I216" s="18">
        <f>3296+814</f>
        <v>4110</v>
      </c>
      <c r="J216" s="18">
        <f>729+630</f>
        <v>1359</v>
      </c>
      <c r="K216" s="18"/>
      <c r="L216" s="19">
        <f>SUM(F216:K216)</f>
        <v>1699439</v>
      </c>
      <c r="M216" s="8"/>
      <c r="N216" s="270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71011</v>
      </c>
      <c r="G218" s="18">
        <v>21981</v>
      </c>
      <c r="H218" s="18"/>
      <c r="I218" s="18">
        <v>36000</v>
      </c>
      <c r="J218" s="18"/>
      <c r="K218" s="18">
        <f>245+76</f>
        <v>321</v>
      </c>
      <c r="L218" s="19">
        <f>SUM(F218:K218)</f>
        <v>129313</v>
      </c>
      <c r="M218" s="8"/>
      <c r="N218" s="270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0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407401+234608</f>
        <v>642009</v>
      </c>
      <c r="G220" s="18">
        <v>281758</v>
      </c>
      <c r="H220" s="18">
        <f>89903+13935</f>
        <v>103838</v>
      </c>
      <c r="I220" s="18">
        <v>2612</v>
      </c>
      <c r="J220" s="18">
        <f>792+102</f>
        <v>894</v>
      </c>
      <c r="K220" s="18">
        <v>423</v>
      </c>
      <c r="L220" s="19">
        <f t="shared" ref="L220:L226" si="2">SUM(F220:K220)</f>
        <v>1031534</v>
      </c>
      <c r="M220" s="8"/>
      <c r="N220" s="270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88588+102515</f>
        <v>191103</v>
      </c>
      <c r="G221" s="18">
        <v>89945</v>
      </c>
      <c r="H221" s="18">
        <v>27602</v>
      </c>
      <c r="I221" s="18">
        <f>11375+7220</f>
        <v>18595</v>
      </c>
      <c r="J221" s="18">
        <f>1190+37774</f>
        <v>38964</v>
      </c>
      <c r="K221" s="18"/>
      <c r="L221" s="19">
        <f t="shared" si="2"/>
        <v>366209</v>
      </c>
      <c r="M221" s="8"/>
      <c r="N221" s="270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11433</v>
      </c>
      <c r="G222" s="18">
        <v>5139</v>
      </c>
      <c r="H222" s="18">
        <v>209555</v>
      </c>
      <c r="I222" s="18">
        <v>1364</v>
      </c>
      <c r="J222" s="18"/>
      <c r="K222" s="18">
        <v>1313</v>
      </c>
      <c r="L222" s="19">
        <f t="shared" si="2"/>
        <v>228804</v>
      </c>
      <c r="M222" s="8"/>
      <c r="N222" s="270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271164</v>
      </c>
      <c r="G223" s="18">
        <v>125445</v>
      </c>
      <c r="H223" s="18">
        <v>16129</v>
      </c>
      <c r="I223" s="18">
        <f>256+1907</f>
        <v>2163</v>
      </c>
      <c r="J223" s="18">
        <v>12940</v>
      </c>
      <c r="K223" s="18">
        <v>1914</v>
      </c>
      <c r="L223" s="19">
        <f t="shared" si="2"/>
        <v>429755</v>
      </c>
      <c r="M223" s="8"/>
      <c r="N223" s="270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127287+126345</f>
        <v>253632</v>
      </c>
      <c r="G225" s="18">
        <v>141914</v>
      </c>
      <c r="H225" s="18">
        <f>86246+92285</f>
        <v>178531</v>
      </c>
      <c r="I225" s="18">
        <f>104029+27207</f>
        <v>131236</v>
      </c>
      <c r="J225" s="18">
        <v>24111</v>
      </c>
      <c r="K225" s="18"/>
      <c r="L225" s="19">
        <f t="shared" si="2"/>
        <v>729424</v>
      </c>
      <c r="M225" s="8"/>
      <c r="N225" s="270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f>14136+224604</f>
        <v>238740</v>
      </c>
      <c r="G226" s="18">
        <v>85429</v>
      </c>
      <c r="H226" s="18">
        <v>84326</v>
      </c>
      <c r="I226" s="18">
        <v>44311</v>
      </c>
      <c r="J226" s="18">
        <v>54556</v>
      </c>
      <c r="K226" s="18">
        <v>145</v>
      </c>
      <c r="L226" s="19">
        <f t="shared" si="2"/>
        <v>507507</v>
      </c>
      <c r="M226" s="8"/>
      <c r="N226" s="270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0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4984236</v>
      </c>
      <c r="G229" s="41">
        <f>SUM(G215:G228)</f>
        <v>2221244</v>
      </c>
      <c r="H229" s="41">
        <f>SUM(H215:H228)</f>
        <v>921177</v>
      </c>
      <c r="I229" s="41">
        <f>SUM(I215:I228)</f>
        <v>309777</v>
      </c>
      <c r="J229" s="41">
        <f>SUM(J215:J228)</f>
        <v>169773</v>
      </c>
      <c r="K229" s="41">
        <f t="shared" si="3"/>
        <v>4116</v>
      </c>
      <c r="L229" s="41">
        <f t="shared" si="3"/>
        <v>8610323</v>
      </c>
      <c r="M229" s="8"/>
      <c r="N229" s="270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0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0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2401037+100637+11486</f>
        <v>2513160</v>
      </c>
      <c r="G233" s="18">
        <f>1424705+23471</f>
        <v>1448176</v>
      </c>
      <c r="H233" s="18">
        <v>3730</v>
      </c>
      <c r="I233" s="18">
        <f>97966+62476</f>
        <v>160442</v>
      </c>
      <c r="J233" s="18">
        <v>17698</v>
      </c>
      <c r="K233" s="18"/>
      <c r="L233" s="19">
        <f>SUM(F233:K233)</f>
        <v>4143206</v>
      </c>
      <c r="M233" s="8"/>
      <c r="N233" s="270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1052095+61731</f>
        <v>1113826</v>
      </c>
      <c r="G234" s="18">
        <v>665125</v>
      </c>
      <c r="H234" s="18">
        <f>491267+76108</f>
        <v>567375</v>
      </c>
      <c r="I234" s="18">
        <f>5151+1171</f>
        <v>6322</v>
      </c>
      <c r="J234" s="18">
        <f>673+906</f>
        <v>1579</v>
      </c>
      <c r="K234" s="18"/>
      <c r="L234" s="19">
        <f>SUM(F234:K234)</f>
        <v>2354227</v>
      </c>
      <c r="M234" s="8"/>
      <c r="N234" s="270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227273</v>
      </c>
      <c r="I235" s="18"/>
      <c r="J235" s="18"/>
      <c r="K235" s="18"/>
      <c r="L235" s="19">
        <f>SUM(F235:K235)</f>
        <v>227273</v>
      </c>
      <c r="M235" s="8"/>
      <c r="N235" s="270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278405</v>
      </c>
      <c r="G236" s="18">
        <v>31608</v>
      </c>
      <c r="H236" s="18">
        <v>35154</v>
      </c>
      <c r="I236" s="18">
        <v>36624</v>
      </c>
      <c r="J236" s="18">
        <v>5850</v>
      </c>
      <c r="K236" s="18">
        <f>5525+110</f>
        <v>5635</v>
      </c>
      <c r="L236" s="19">
        <f>SUM(F236:K236)</f>
        <v>393276</v>
      </c>
      <c r="M236" s="8"/>
      <c r="N236" s="270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0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450500+337362</f>
        <v>787862</v>
      </c>
      <c r="G238" s="18">
        <v>405162</v>
      </c>
      <c r="H238" s="18">
        <f>264953+20039</f>
        <v>284992</v>
      </c>
      <c r="I238" s="18">
        <v>3265</v>
      </c>
      <c r="J238" s="18">
        <v>147</v>
      </c>
      <c r="K238" s="18">
        <v>609</v>
      </c>
      <c r="L238" s="19">
        <f t="shared" ref="L238:L244" si="4">SUM(F238:K238)</f>
        <v>1482037</v>
      </c>
      <c r="M238" s="8"/>
      <c r="N238" s="270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63872+147414</f>
        <v>211286</v>
      </c>
      <c r="G239" s="18">
        <v>129340</v>
      </c>
      <c r="H239" s="18">
        <v>39691</v>
      </c>
      <c r="I239" s="18">
        <f>11605+10382</f>
        <v>21987</v>
      </c>
      <c r="J239" s="18">
        <f>1580+54318</f>
        <v>55898</v>
      </c>
      <c r="K239" s="18"/>
      <c r="L239" s="19">
        <f t="shared" si="4"/>
        <v>458202</v>
      </c>
      <c r="M239" s="8"/>
      <c r="N239" s="270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16440</v>
      </c>
      <c r="G240" s="18">
        <v>7390</v>
      </c>
      <c r="H240" s="18">
        <f>102+301336</f>
        <v>301438</v>
      </c>
      <c r="I240" s="18">
        <v>1961</v>
      </c>
      <c r="J240" s="18"/>
      <c r="K240" s="18">
        <v>1888</v>
      </c>
      <c r="L240" s="19">
        <f t="shared" si="4"/>
        <v>329117</v>
      </c>
      <c r="M240" s="8"/>
      <c r="N240" s="270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384274</v>
      </c>
      <c r="G241" s="18">
        <v>180387</v>
      </c>
      <c r="H241" s="18">
        <v>26506</v>
      </c>
      <c r="I241" s="18">
        <v>2742</v>
      </c>
      <c r="J241" s="18">
        <v>18608</v>
      </c>
      <c r="K241" s="18">
        <v>16180</v>
      </c>
      <c r="L241" s="19">
        <f t="shared" si="4"/>
        <v>628697</v>
      </c>
      <c r="M241" s="8"/>
      <c r="N241" s="270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246331+181682</f>
        <v>428013</v>
      </c>
      <c r="G243" s="18">
        <v>204069</v>
      </c>
      <c r="H243" s="18">
        <f>84290+132703</f>
        <v>216993</v>
      </c>
      <c r="I243" s="18">
        <f>144490+39123</f>
        <v>183613</v>
      </c>
      <c r="J243" s="18">
        <v>34671</v>
      </c>
      <c r="K243" s="18"/>
      <c r="L243" s="19">
        <f t="shared" si="4"/>
        <v>1067359</v>
      </c>
      <c r="M243" s="8"/>
      <c r="N243" s="270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f>59964+322976</f>
        <v>382940</v>
      </c>
      <c r="G244" s="18">
        <v>122845</v>
      </c>
      <c r="H244" s="18">
        <v>121258</v>
      </c>
      <c r="I244" s="18">
        <v>63719</v>
      </c>
      <c r="J244" s="18">
        <f>78450+1</f>
        <v>78451</v>
      </c>
      <c r="K244" s="18">
        <v>208</v>
      </c>
      <c r="L244" s="19">
        <f t="shared" si="4"/>
        <v>769421</v>
      </c>
      <c r="M244" s="8"/>
      <c r="N244" s="270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0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6116206</v>
      </c>
      <c r="G247" s="41">
        <f t="shared" si="5"/>
        <v>3194102</v>
      </c>
      <c r="H247" s="41">
        <f t="shared" si="5"/>
        <v>1824410</v>
      </c>
      <c r="I247" s="41">
        <f t="shared" si="5"/>
        <v>480675</v>
      </c>
      <c r="J247" s="41">
        <f t="shared" si="5"/>
        <v>212902</v>
      </c>
      <c r="K247" s="41">
        <f t="shared" si="5"/>
        <v>24520</v>
      </c>
      <c r="L247" s="41">
        <f t="shared" si="5"/>
        <v>11852815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0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450601</v>
      </c>
      <c r="I255" s="18"/>
      <c r="J255" s="18"/>
      <c r="K255" s="18"/>
      <c r="L255" s="19">
        <f t="shared" si="6"/>
        <v>450601</v>
      </c>
      <c r="M255" s="8"/>
      <c r="N255" s="270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450601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450601</v>
      </c>
      <c r="M256" s="8"/>
      <c r="N256" s="270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20426066</v>
      </c>
      <c r="G257" s="41">
        <f t="shared" si="8"/>
        <v>9484153</v>
      </c>
      <c r="H257" s="41">
        <f t="shared" si="8"/>
        <v>5071432</v>
      </c>
      <c r="I257" s="41">
        <f t="shared" si="8"/>
        <v>1531063</v>
      </c>
      <c r="J257" s="41">
        <f t="shared" si="8"/>
        <v>647951</v>
      </c>
      <c r="K257" s="41">
        <f t="shared" si="8"/>
        <v>36285</v>
      </c>
      <c r="L257" s="41">
        <f t="shared" si="8"/>
        <v>37196950</v>
      </c>
      <c r="M257" s="8"/>
      <c r="N257" s="270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0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0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181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14328</v>
      </c>
      <c r="L263" s="19">
        <f>SUM(F263:K263)</f>
        <v>14328</v>
      </c>
      <c r="N263" s="181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181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14328</v>
      </c>
      <c r="L270" s="41">
        <f t="shared" si="9"/>
        <v>14328</v>
      </c>
      <c r="N270" s="181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20426066</v>
      </c>
      <c r="G271" s="42">
        <f t="shared" si="11"/>
        <v>9484153</v>
      </c>
      <c r="H271" s="42">
        <f t="shared" si="11"/>
        <v>5071432</v>
      </c>
      <c r="I271" s="42">
        <f t="shared" si="11"/>
        <v>1531063</v>
      </c>
      <c r="J271" s="42">
        <f t="shared" si="11"/>
        <v>647951</v>
      </c>
      <c r="K271" s="42">
        <f t="shared" si="11"/>
        <v>50613</v>
      </c>
      <c r="L271" s="42">
        <f t="shared" si="11"/>
        <v>37211278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0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0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23607+109963+1</f>
        <v>133571</v>
      </c>
      <c r="G276" s="18">
        <v>45639</v>
      </c>
      <c r="H276" s="18">
        <v>725</v>
      </c>
      <c r="I276" s="18">
        <v>2452</v>
      </c>
      <c r="J276" s="18">
        <f>10737+4259</f>
        <v>14996</v>
      </c>
      <c r="K276" s="18"/>
      <c r="L276" s="19">
        <f>SUM(F276:K276)</f>
        <v>197383</v>
      </c>
      <c r="M276" s="8"/>
      <c r="N276" s="270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58438+47820</f>
        <v>106258</v>
      </c>
      <c r="G277" s="18">
        <v>40696</v>
      </c>
      <c r="H277" s="18">
        <v>6331</v>
      </c>
      <c r="I277" s="18">
        <v>5900</v>
      </c>
      <c r="J277" s="18">
        <f>1800+4631</f>
        <v>6431</v>
      </c>
      <c r="K277" s="18"/>
      <c r="L277" s="19">
        <f>SUM(F277:K277)</f>
        <v>165616</v>
      </c>
      <c r="M277" s="8"/>
      <c r="N277" s="270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17387</v>
      </c>
      <c r="G279" s="18">
        <v>4022</v>
      </c>
      <c r="H279" s="18"/>
      <c r="I279" s="18">
        <f>1008+367</f>
        <v>1375</v>
      </c>
      <c r="J279" s="18"/>
      <c r="K279" s="18"/>
      <c r="L279" s="19">
        <f>SUM(F279:K279)</f>
        <v>22784</v>
      </c>
      <c r="M279" s="8"/>
      <c r="N279" s="270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0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44933</v>
      </c>
      <c r="G281" s="18">
        <v>15327</v>
      </c>
      <c r="H281" s="18"/>
      <c r="I281" s="18"/>
      <c r="J281" s="18"/>
      <c r="K281" s="18"/>
      <c r="L281" s="19">
        <f t="shared" ref="L281:L287" si="12">SUM(F281:K281)</f>
        <v>60260</v>
      </c>
      <c r="M281" s="8"/>
      <c r="N281" s="270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14865</v>
      </c>
      <c r="G282" s="18">
        <v>7824</v>
      </c>
      <c r="H282" s="18">
        <v>92382</v>
      </c>
      <c r="I282" s="18">
        <v>6447</v>
      </c>
      <c r="J282" s="18">
        <v>3338</v>
      </c>
      <c r="K282" s="18"/>
      <c r="L282" s="19">
        <f t="shared" si="12"/>
        <v>124856</v>
      </c>
      <c r="M282" s="8"/>
      <c r="N282" s="270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/>
      <c r="H283" s="18"/>
      <c r="I283" s="18">
        <v>0</v>
      </c>
      <c r="J283" s="18"/>
      <c r="K283" s="18">
        <v>0</v>
      </c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2761</v>
      </c>
      <c r="L285" s="19">
        <f t="shared" si="12"/>
        <v>2761</v>
      </c>
      <c r="M285" s="8"/>
      <c r="N285" s="270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>
        <v>12</v>
      </c>
      <c r="H287" s="18">
        <v>163</v>
      </c>
      <c r="I287" s="18"/>
      <c r="J287" s="18"/>
      <c r="K287" s="18"/>
      <c r="L287" s="19">
        <f t="shared" si="12"/>
        <v>175</v>
      </c>
      <c r="M287" s="8"/>
      <c r="N287" s="270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2894</v>
      </c>
      <c r="G288" s="18">
        <v>211</v>
      </c>
      <c r="H288" s="18"/>
      <c r="I288" s="18"/>
      <c r="J288" s="18"/>
      <c r="K288" s="18"/>
      <c r="L288" s="19">
        <f>SUM(F288:K288)</f>
        <v>3105</v>
      </c>
      <c r="M288" s="8"/>
      <c r="N288" s="270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0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319908</v>
      </c>
      <c r="G290" s="42">
        <f t="shared" si="13"/>
        <v>113731</v>
      </c>
      <c r="H290" s="42">
        <f t="shared" si="13"/>
        <v>99601</v>
      </c>
      <c r="I290" s="42">
        <f t="shared" si="13"/>
        <v>16174</v>
      </c>
      <c r="J290" s="42">
        <f t="shared" si="13"/>
        <v>24765</v>
      </c>
      <c r="K290" s="42">
        <f t="shared" si="13"/>
        <v>2761</v>
      </c>
      <c r="L290" s="41">
        <f t="shared" si="13"/>
        <v>576940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0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0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f>60627+1</f>
        <v>60628</v>
      </c>
      <c r="G295" s="18">
        <v>25163</v>
      </c>
      <c r="H295" s="18">
        <v>400</v>
      </c>
      <c r="I295" s="18">
        <v>1352</v>
      </c>
      <c r="J295" s="18">
        <v>2348</v>
      </c>
      <c r="K295" s="18"/>
      <c r="L295" s="19">
        <f>SUM(F295:K295)</f>
        <v>89891</v>
      </c>
      <c r="M295" s="8"/>
      <c r="N295" s="270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40170+26365</f>
        <v>66535</v>
      </c>
      <c r="G296" s="18">
        <v>22438</v>
      </c>
      <c r="H296" s="18">
        <v>3491</v>
      </c>
      <c r="I296" s="18">
        <v>3253</v>
      </c>
      <c r="J296" s="18">
        <v>2554</v>
      </c>
      <c r="K296" s="18"/>
      <c r="L296" s="19">
        <f>SUM(F296:K296)</f>
        <v>98271</v>
      </c>
      <c r="M296" s="8"/>
      <c r="N296" s="270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>
        <v>0</v>
      </c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0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24774</v>
      </c>
      <c r="G300" s="18">
        <v>8451</v>
      </c>
      <c r="H300" s="18"/>
      <c r="I300" s="18"/>
      <c r="J300" s="18"/>
      <c r="K300" s="18"/>
      <c r="L300" s="19">
        <f t="shared" ref="L300:L306" si="14">SUM(F300:K300)</f>
        <v>33225</v>
      </c>
      <c r="M300" s="8"/>
      <c r="N300" s="270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8196</v>
      </c>
      <c r="G301" s="18">
        <v>4313</v>
      </c>
      <c r="H301" s="18">
        <v>50934</v>
      </c>
      <c r="I301" s="18">
        <v>3554</v>
      </c>
      <c r="J301" s="18">
        <v>1840</v>
      </c>
      <c r="K301" s="18"/>
      <c r="L301" s="19">
        <f t="shared" si="14"/>
        <v>68837</v>
      </c>
      <c r="M301" s="8"/>
      <c r="N301" s="270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>
        <v>1522</v>
      </c>
      <c r="L304" s="19">
        <f t="shared" si="14"/>
        <v>1522</v>
      </c>
      <c r="M304" s="8"/>
      <c r="N304" s="270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>
        <v>7</v>
      </c>
      <c r="H306" s="18">
        <v>90</v>
      </c>
      <c r="I306" s="18"/>
      <c r="J306" s="18"/>
      <c r="K306" s="18"/>
      <c r="L306" s="19">
        <f t="shared" si="14"/>
        <v>97</v>
      </c>
      <c r="M306" s="8"/>
      <c r="N306" s="270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0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160133</v>
      </c>
      <c r="G309" s="42">
        <f t="shared" si="15"/>
        <v>60372</v>
      </c>
      <c r="H309" s="42">
        <f t="shared" si="15"/>
        <v>54915</v>
      </c>
      <c r="I309" s="42">
        <f t="shared" si="15"/>
        <v>8159</v>
      </c>
      <c r="J309" s="42">
        <f t="shared" si="15"/>
        <v>6742</v>
      </c>
      <c r="K309" s="42">
        <f t="shared" si="15"/>
        <v>1522</v>
      </c>
      <c r="L309" s="41">
        <f t="shared" si="15"/>
        <v>291843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0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0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f>87180+1</f>
        <v>87181</v>
      </c>
      <c r="G314" s="18">
        <v>36183</v>
      </c>
      <c r="H314" s="18">
        <v>575</v>
      </c>
      <c r="I314" s="18">
        <v>1944</v>
      </c>
      <c r="J314" s="18">
        <v>3377</v>
      </c>
      <c r="K314" s="18"/>
      <c r="L314" s="19">
        <f>SUM(F314:K314)</f>
        <v>129260</v>
      </c>
      <c r="M314" s="8"/>
      <c r="N314" s="270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37914</v>
      </c>
      <c r="G315" s="18">
        <v>32265</v>
      </c>
      <c r="H315" s="18">
        <v>5019</v>
      </c>
      <c r="I315" s="18">
        <v>4678</v>
      </c>
      <c r="J315" s="18">
        <v>3672</v>
      </c>
      <c r="K315" s="18"/>
      <c r="L315" s="19">
        <f>SUM(F315:K315)</f>
        <v>83548</v>
      </c>
      <c r="M315" s="8"/>
      <c r="N315" s="270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0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35624</v>
      </c>
      <c r="G319" s="18">
        <v>12152</v>
      </c>
      <c r="H319" s="18"/>
      <c r="I319" s="18"/>
      <c r="J319" s="18"/>
      <c r="K319" s="18"/>
      <c r="L319" s="19">
        <f t="shared" ref="L319:L325" si="16">SUM(F319:K319)</f>
        <v>47776</v>
      </c>
      <c r="M319" s="8"/>
      <c r="N319" s="270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11785</v>
      </c>
      <c r="G320" s="18">
        <v>6203</v>
      </c>
      <c r="H320" s="18">
        <v>73242</v>
      </c>
      <c r="I320" s="18">
        <v>5111</v>
      </c>
      <c r="J320" s="18">
        <v>2646</v>
      </c>
      <c r="K320" s="18"/>
      <c r="L320" s="19">
        <f t="shared" si="16"/>
        <v>98987</v>
      </c>
      <c r="M320" s="8"/>
      <c r="N320" s="270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>
        <v>2189</v>
      </c>
      <c r="L323" s="19">
        <f t="shared" si="16"/>
        <v>2189</v>
      </c>
      <c r="M323" s="8"/>
      <c r="N323" s="270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>
        <v>10</v>
      </c>
      <c r="H325" s="18">
        <v>129</v>
      </c>
      <c r="I325" s="18"/>
      <c r="J325" s="18"/>
      <c r="K325" s="18"/>
      <c r="L325" s="19">
        <f t="shared" si="16"/>
        <v>139</v>
      </c>
      <c r="M325" s="8"/>
      <c r="N325" s="270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0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172504</v>
      </c>
      <c r="G328" s="42">
        <f t="shared" si="17"/>
        <v>86813</v>
      </c>
      <c r="H328" s="42">
        <f t="shared" si="17"/>
        <v>78965</v>
      </c>
      <c r="I328" s="42">
        <f t="shared" si="17"/>
        <v>11733</v>
      </c>
      <c r="J328" s="42">
        <f t="shared" si="17"/>
        <v>9695</v>
      </c>
      <c r="K328" s="42">
        <f t="shared" si="17"/>
        <v>2189</v>
      </c>
      <c r="L328" s="41">
        <f t="shared" si="17"/>
        <v>361899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0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16335</v>
      </c>
      <c r="G335" s="18">
        <v>1163</v>
      </c>
      <c r="H335" s="18">
        <v>1471</v>
      </c>
      <c r="I335" s="18">
        <v>5124</v>
      </c>
      <c r="J335" s="18"/>
      <c r="K335" s="18"/>
      <c r="L335" s="19">
        <f t="shared" si="18"/>
        <v>24093</v>
      </c>
      <c r="M335" s="8"/>
      <c r="N335" s="270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16335</v>
      </c>
      <c r="G337" s="41">
        <f t="shared" si="19"/>
        <v>1163</v>
      </c>
      <c r="H337" s="41">
        <f t="shared" si="19"/>
        <v>1471</v>
      </c>
      <c r="I337" s="41">
        <f t="shared" si="19"/>
        <v>5124</v>
      </c>
      <c r="J337" s="41">
        <f t="shared" si="19"/>
        <v>0</v>
      </c>
      <c r="K337" s="41">
        <f t="shared" si="19"/>
        <v>0</v>
      </c>
      <c r="L337" s="41">
        <f t="shared" si="18"/>
        <v>24093</v>
      </c>
      <c r="M337" s="8"/>
      <c r="N337" s="270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668880</v>
      </c>
      <c r="G338" s="41">
        <f t="shared" si="20"/>
        <v>262079</v>
      </c>
      <c r="H338" s="41">
        <f t="shared" si="20"/>
        <v>234952</v>
      </c>
      <c r="I338" s="41">
        <f t="shared" si="20"/>
        <v>41190</v>
      </c>
      <c r="J338" s="41">
        <f t="shared" si="20"/>
        <v>41202</v>
      </c>
      <c r="K338" s="41">
        <f t="shared" si="20"/>
        <v>6472</v>
      </c>
      <c r="L338" s="41">
        <f t="shared" si="20"/>
        <v>1254775</v>
      </c>
      <c r="M338" s="8"/>
      <c r="N338" s="270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0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0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668880</v>
      </c>
      <c r="G352" s="41">
        <f>G338</f>
        <v>262079</v>
      </c>
      <c r="H352" s="41">
        <f>H338</f>
        <v>234952</v>
      </c>
      <c r="I352" s="41">
        <f>I338</f>
        <v>41190</v>
      </c>
      <c r="J352" s="41">
        <f>J338</f>
        <v>41202</v>
      </c>
      <c r="K352" s="47">
        <f>K338+K351</f>
        <v>6472</v>
      </c>
      <c r="L352" s="41">
        <f>L338+L351</f>
        <v>1254775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0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0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0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168766+30340</f>
        <v>199106</v>
      </c>
      <c r="G358" s="18">
        <v>41456</v>
      </c>
      <c r="H358" s="18">
        <f>7153+2181</f>
        <v>9334</v>
      </c>
      <c r="I358" s="18">
        <v>174997</v>
      </c>
      <c r="J358" s="18">
        <v>945</v>
      </c>
      <c r="K358" s="18"/>
      <c r="L358" s="13">
        <f>SUM(F358:K358)</f>
        <v>425838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72063+16728</f>
        <v>88791</v>
      </c>
      <c r="G359" s="18">
        <v>22856</v>
      </c>
      <c r="H359" s="18">
        <f>1690+1202</f>
        <v>2892</v>
      </c>
      <c r="I359" s="18">
        <v>106364</v>
      </c>
      <c r="J359" s="18"/>
      <c r="K359" s="18"/>
      <c r="L359" s="19">
        <f>SUM(F359:K359)</f>
        <v>220903</v>
      </c>
      <c r="M359" s="8"/>
      <c r="N359" s="270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159675+24054</f>
        <v>183729</v>
      </c>
      <c r="G360" s="18">
        <v>32867</v>
      </c>
      <c r="H360" s="18">
        <f>6700+1729</f>
        <v>8429</v>
      </c>
      <c r="I360" s="18">
        <f>242851-14443+414</f>
        <v>228822</v>
      </c>
      <c r="J360" s="18"/>
      <c r="K360" s="18"/>
      <c r="L360" s="19">
        <f>SUM(F360:K360)</f>
        <v>453847</v>
      </c>
      <c r="M360" s="8"/>
      <c r="N360" s="270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471626</v>
      </c>
      <c r="G362" s="47">
        <f t="shared" si="22"/>
        <v>97179</v>
      </c>
      <c r="H362" s="47">
        <f t="shared" si="22"/>
        <v>20655</v>
      </c>
      <c r="I362" s="47">
        <f t="shared" si="22"/>
        <v>510183</v>
      </c>
      <c r="J362" s="47">
        <f t="shared" si="22"/>
        <v>945</v>
      </c>
      <c r="K362" s="47">
        <f t="shared" si="22"/>
        <v>0</v>
      </c>
      <c r="L362" s="47">
        <f t="shared" si="22"/>
        <v>1100588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0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141499+14287+8050</f>
        <v>163836</v>
      </c>
      <c r="G367" s="18">
        <v>100099</v>
      </c>
      <c r="H367" s="18">
        <f>218974-14443+414</f>
        <v>204945</v>
      </c>
      <c r="I367" s="56">
        <f>SUM(F367:H367)</f>
        <v>468880</v>
      </c>
      <c r="J367" s="24" t="s">
        <v>288</v>
      </c>
      <c r="K367" s="24" t="s">
        <v>288</v>
      </c>
      <c r="L367" s="24" t="s">
        <v>288</v>
      </c>
      <c r="M367" s="8"/>
      <c r="N367" s="270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7803+2083+1034+241</f>
        <v>11161</v>
      </c>
      <c r="G368" s="63">
        <f>4770+1495</f>
        <v>6265</v>
      </c>
      <c r="H368" s="63">
        <f>23877</f>
        <v>23877</v>
      </c>
      <c r="I368" s="56">
        <f>SUM(F368:H368)</f>
        <v>41303</v>
      </c>
      <c r="J368" s="24" t="s">
        <v>288</v>
      </c>
      <c r="K368" s="24" t="s">
        <v>288</v>
      </c>
      <c r="L368" s="24" t="s">
        <v>288</v>
      </c>
      <c r="M368" s="8"/>
      <c r="N368" s="270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174997</v>
      </c>
      <c r="G369" s="47">
        <f>SUM(G367:G368)</f>
        <v>106364</v>
      </c>
      <c r="H369" s="47">
        <f>SUM(H367:H368)</f>
        <v>228822</v>
      </c>
      <c r="I369" s="47">
        <f>SUM(I367:I368)</f>
        <v>510183</v>
      </c>
      <c r="J369" s="24" t="s">
        <v>288</v>
      </c>
      <c r="K369" s="24" t="s">
        <v>288</v>
      </c>
      <c r="L369" s="24" t="s">
        <v>288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0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0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0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2580</v>
      </c>
      <c r="I389" s="18">
        <f>163974-160045-2580</f>
        <v>1349</v>
      </c>
      <c r="J389" s="24" t="s">
        <v>288</v>
      </c>
      <c r="K389" s="24" t="s">
        <v>288</v>
      </c>
      <c r="L389" s="56">
        <f t="shared" si="25"/>
        <v>3929</v>
      </c>
      <c r="M389" s="8"/>
      <c r="N389" s="270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6636</v>
      </c>
      <c r="I392" s="18">
        <f>421706-411601-6636</f>
        <v>3469</v>
      </c>
      <c r="J392" s="24" t="s">
        <v>288</v>
      </c>
      <c r="K392" s="24" t="s">
        <v>288</v>
      </c>
      <c r="L392" s="56">
        <f t="shared" si="25"/>
        <v>10105</v>
      </c>
      <c r="M392" s="8"/>
      <c r="N392" s="270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9216</v>
      </c>
      <c r="I393" s="65">
        <f>SUM(I387:I392)</f>
        <v>4818</v>
      </c>
      <c r="J393" s="45" t="s">
        <v>288</v>
      </c>
      <c r="K393" s="45" t="s">
        <v>288</v>
      </c>
      <c r="L393" s="47">
        <f>SUM(L387:L392)</f>
        <v>14034</v>
      </c>
      <c r="M393" s="8"/>
      <c r="N393" s="270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0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0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9216</v>
      </c>
      <c r="I408" s="47">
        <f>I393+I401+I407</f>
        <v>4818</v>
      </c>
      <c r="J408" s="24" t="s">
        <v>288</v>
      </c>
      <c r="K408" s="24" t="s">
        <v>288</v>
      </c>
      <c r="L408" s="47">
        <f>L393+L401+L407</f>
        <v>14034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0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0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0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0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0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0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0</v>
      </c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0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0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f>163974+421706</f>
        <v>585680</v>
      </c>
      <c r="G442" s="18"/>
      <c r="H442" s="18"/>
      <c r="I442" s="56">
        <f t="shared" si="33"/>
        <v>585680</v>
      </c>
      <c r="J442" s="24" t="s">
        <v>288</v>
      </c>
      <c r="K442" s="24" t="s">
        <v>288</v>
      </c>
      <c r="L442" s="24" t="s">
        <v>288</v>
      </c>
      <c r="M442" s="8"/>
      <c r="N442" s="270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0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0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0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585680</v>
      </c>
      <c r="G446" s="13">
        <f>SUM(G439:G445)</f>
        <v>0</v>
      </c>
      <c r="H446" s="13">
        <f>SUM(H439:H445)</f>
        <v>0</v>
      </c>
      <c r="I446" s="13">
        <f>SUM(I439:I445)</f>
        <v>585680</v>
      </c>
      <c r="J446" s="24" t="s">
        <v>288</v>
      </c>
      <c r="K446" s="24" t="s">
        <v>288</v>
      </c>
      <c r="L446" s="24" t="s">
        <v>288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0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0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0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0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0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0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0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0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585680</v>
      </c>
      <c r="G459" s="18"/>
      <c r="H459" s="18"/>
      <c r="I459" s="56">
        <f t="shared" si="34"/>
        <v>585680</v>
      </c>
      <c r="J459" s="24" t="s">
        <v>288</v>
      </c>
      <c r="K459" s="24" t="s">
        <v>288</v>
      </c>
      <c r="L459" s="24" t="s">
        <v>288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585680</v>
      </c>
      <c r="G460" s="83">
        <f>SUM(G454:G459)</f>
        <v>0</v>
      </c>
      <c r="H460" s="83">
        <f>SUM(H454:H459)</f>
        <v>0</v>
      </c>
      <c r="I460" s="83">
        <f>SUM(I454:I459)</f>
        <v>585680</v>
      </c>
      <c r="J460" s="24" t="s">
        <v>288</v>
      </c>
      <c r="K460" s="24" t="s">
        <v>288</v>
      </c>
      <c r="L460" s="24" t="s">
        <v>288</v>
      </c>
      <c r="N460" s="217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585680</v>
      </c>
      <c r="G461" s="42">
        <f>G452+G460</f>
        <v>0</v>
      </c>
      <c r="H461" s="42">
        <f>H452+H460</f>
        <v>0</v>
      </c>
      <c r="I461" s="42">
        <f>I452+I460</f>
        <v>585680</v>
      </c>
      <c r="J461" s="24" t="s">
        <v>288</v>
      </c>
      <c r="K461" s="24" t="s">
        <v>288</v>
      </c>
      <c r="L461" s="24" t="s">
        <v>288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1032956</v>
      </c>
      <c r="G465" s="18">
        <v>0</v>
      </c>
      <c r="H465" s="18">
        <v>-9667</v>
      </c>
      <c r="I465" s="18"/>
      <c r="J465" s="18">
        <v>571646</v>
      </c>
      <c r="K465" s="24" t="s">
        <v>288</v>
      </c>
      <c r="L465" s="24" t="s">
        <v>288</v>
      </c>
      <c r="N465" s="217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17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17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36892104</v>
      </c>
      <c r="G468" s="18">
        <f>G193</f>
        <v>1100588</v>
      </c>
      <c r="H468" s="18">
        <f>H193</f>
        <v>1208819</v>
      </c>
      <c r="I468" s="18">
        <f>I193</f>
        <v>0</v>
      </c>
      <c r="J468" s="18">
        <f>J193</f>
        <v>14034</v>
      </c>
      <c r="K468" s="24" t="s">
        <v>288</v>
      </c>
      <c r="L468" s="24" t="s">
        <v>288</v>
      </c>
      <c r="N468" s="217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17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36892104</v>
      </c>
      <c r="G470" s="53">
        <f>SUM(G468:G469)</f>
        <v>1100588</v>
      </c>
      <c r="H470" s="53">
        <f>SUM(H468:H469)</f>
        <v>1208819</v>
      </c>
      <c r="I470" s="53">
        <f>SUM(I468:I469)</f>
        <v>0</v>
      </c>
      <c r="J470" s="53">
        <f>SUM(J468:J469)</f>
        <v>14034</v>
      </c>
      <c r="K470" s="24" t="s">
        <v>288</v>
      </c>
      <c r="L470" s="24" t="s">
        <v>288</v>
      </c>
      <c r="N470" s="217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17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37211278</v>
      </c>
      <c r="G472" s="18">
        <f>L362</f>
        <v>1100588</v>
      </c>
      <c r="H472" s="18">
        <f>L352</f>
        <v>1254775</v>
      </c>
      <c r="I472" s="18">
        <f>L382</f>
        <v>0</v>
      </c>
      <c r="J472" s="18">
        <f>L434</f>
        <v>0</v>
      </c>
      <c r="K472" s="24" t="s">
        <v>288</v>
      </c>
      <c r="L472" s="24" t="s">
        <v>288</v>
      </c>
      <c r="N472" s="217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17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37211278</v>
      </c>
      <c r="G474" s="53">
        <f>SUM(G472:G473)</f>
        <v>1100588</v>
      </c>
      <c r="H474" s="53">
        <f>SUM(H472:H473)</f>
        <v>1254775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17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17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713782</v>
      </c>
      <c r="G476" s="53">
        <f>(G465+G470)- G474</f>
        <v>0</v>
      </c>
      <c r="H476" s="53">
        <f>(H465+H470)- H474</f>
        <v>-55623</v>
      </c>
      <c r="I476" s="53">
        <f>(I465+I470)- I474</f>
        <v>0</v>
      </c>
      <c r="J476" s="53">
        <f>(J465+J470)- J474</f>
        <v>585680</v>
      </c>
      <c r="K476" s="24" t="s">
        <v>288</v>
      </c>
      <c r="L476" s="24" t="s">
        <v>288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17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17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17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17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17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17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17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17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17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17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17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17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17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17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17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17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17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17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17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17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17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17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17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1654459+77863+58438+47821</f>
        <v>1838581</v>
      </c>
      <c r="G521" s="18">
        <f>838936+40697</f>
        <v>879633</v>
      </c>
      <c r="H521" s="18">
        <f>546477+95997+6331</f>
        <v>648805</v>
      </c>
      <c r="I521" s="18">
        <f>3144+1477+5900</f>
        <v>10521</v>
      </c>
      <c r="J521" s="18">
        <f>1143+1800+4631</f>
        <v>7574</v>
      </c>
      <c r="K521" s="18">
        <v>0</v>
      </c>
      <c r="L521" s="88">
        <f>SUM(F521:K521)</f>
        <v>3385114</v>
      </c>
      <c r="N521" s="217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892061+42929+40170+26366</f>
        <v>1001526</v>
      </c>
      <c r="G522" s="18">
        <f>462542+22438</f>
        <v>484980</v>
      </c>
      <c r="H522" s="18">
        <f>243512+52927+3491</f>
        <v>299930</v>
      </c>
      <c r="I522" s="18">
        <f>3296+814+3253</f>
        <v>7363</v>
      </c>
      <c r="J522" s="18">
        <f>729+630+2554</f>
        <v>3913</v>
      </c>
      <c r="K522" s="18"/>
      <c r="L522" s="88">
        <f>SUM(F522:K522)</f>
        <v>1797712</v>
      </c>
      <c r="N522" s="217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1052095+61731+37914</f>
        <v>1151740</v>
      </c>
      <c r="G523" s="18">
        <f>665125+32265</f>
        <v>697390</v>
      </c>
      <c r="H523" s="18">
        <f>491267+76108+5019</f>
        <v>572394</v>
      </c>
      <c r="I523" s="18">
        <f>5151+1171+4678</f>
        <v>11000</v>
      </c>
      <c r="J523" s="18">
        <f>673+906+3672</f>
        <v>5251</v>
      </c>
      <c r="K523" s="18"/>
      <c r="L523" s="88">
        <f>SUM(F523:K523)</f>
        <v>2437775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3991847</v>
      </c>
      <c r="G524" s="108">
        <f t="shared" ref="G524:L524" si="36">SUM(G521:G523)</f>
        <v>2062003</v>
      </c>
      <c r="H524" s="108">
        <f t="shared" si="36"/>
        <v>1521129</v>
      </c>
      <c r="I524" s="108">
        <f t="shared" si="36"/>
        <v>28884</v>
      </c>
      <c r="J524" s="108">
        <f t="shared" si="36"/>
        <v>16738</v>
      </c>
      <c r="K524" s="108">
        <f t="shared" si="36"/>
        <v>0</v>
      </c>
      <c r="L524" s="89">
        <f t="shared" si="36"/>
        <v>7620601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17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69850+323770+32483</f>
        <v>426103</v>
      </c>
      <c r="G526" s="18">
        <f>165802+10268</f>
        <v>176070</v>
      </c>
      <c r="H526" s="18">
        <f>243054</f>
        <v>243054</v>
      </c>
      <c r="I526" s="18">
        <v>0</v>
      </c>
      <c r="J526" s="18"/>
      <c r="K526" s="18"/>
      <c r="L526" s="88">
        <f>SUM(F526:K526)</f>
        <v>845227</v>
      </c>
      <c r="M526" s="8"/>
      <c r="N526" s="270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27282+178508+17909</f>
        <v>223699</v>
      </c>
      <c r="G527" s="18">
        <f>91414+5661</f>
        <v>97075</v>
      </c>
      <c r="H527" s="18">
        <f>66997</f>
        <v>66997</v>
      </c>
      <c r="I527" s="18"/>
      <c r="J527" s="18"/>
      <c r="K527" s="18"/>
      <c r="L527" s="88">
        <f>SUM(F527:K527)</f>
        <v>387771</v>
      </c>
      <c r="M527" s="8"/>
      <c r="N527" s="270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256691+25753</f>
        <v>282444</v>
      </c>
      <c r="G528" s="18">
        <f>131451+8140</f>
        <v>139591</v>
      </c>
      <c r="H528" s="18">
        <f>138856</f>
        <v>138856</v>
      </c>
      <c r="I528" s="18"/>
      <c r="J528" s="18"/>
      <c r="K528" s="18"/>
      <c r="L528" s="88">
        <f>SUM(F528:K528)</f>
        <v>560891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932246</v>
      </c>
      <c r="G529" s="89">
        <f t="shared" ref="G529:L529" si="37">SUM(G526:G528)</f>
        <v>412736</v>
      </c>
      <c r="H529" s="89">
        <f t="shared" si="37"/>
        <v>448907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1793889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0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101751+12451</f>
        <v>114202</v>
      </c>
      <c r="G531" s="18">
        <f>66874+5060</f>
        <v>71934</v>
      </c>
      <c r="H531" s="18">
        <f>28855+1538</f>
        <v>30393</v>
      </c>
      <c r="I531" s="18"/>
      <c r="J531" s="18">
        <v>186</v>
      </c>
      <c r="K531" s="18">
        <v>768</v>
      </c>
      <c r="L531" s="88">
        <f>SUM(F531:K531)</f>
        <v>217483</v>
      </c>
      <c r="M531" s="8"/>
      <c r="N531" s="270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51941+56100+6865</f>
        <v>114906</v>
      </c>
      <c r="G532" s="18">
        <f>36871+2790</f>
        <v>39661</v>
      </c>
      <c r="H532" s="18">
        <f>15081+848</f>
        <v>15929</v>
      </c>
      <c r="I532" s="18">
        <f>230</f>
        <v>230</v>
      </c>
      <c r="J532" s="18">
        <v>102</v>
      </c>
      <c r="K532" s="18">
        <v>423</v>
      </c>
      <c r="L532" s="88">
        <f>SUM(F532:K532)</f>
        <v>171251</v>
      </c>
      <c r="M532" s="8"/>
      <c r="N532" s="270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51940+80670+9871</f>
        <v>142481</v>
      </c>
      <c r="G533" s="18">
        <f>53019+4011</f>
        <v>57030</v>
      </c>
      <c r="H533" s="18">
        <f>24948+1220</f>
        <v>26168</v>
      </c>
      <c r="I533" s="18"/>
      <c r="J533" s="18">
        <v>147</v>
      </c>
      <c r="K533" s="18">
        <v>609</v>
      </c>
      <c r="L533" s="88">
        <f>SUM(F533:K533)</f>
        <v>226435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371589</v>
      </c>
      <c r="G534" s="89">
        <f t="shared" ref="G534:L534" si="38">SUM(G531:G533)</f>
        <v>168625</v>
      </c>
      <c r="H534" s="89">
        <f t="shared" si="38"/>
        <v>72490</v>
      </c>
      <c r="I534" s="89">
        <f t="shared" si="38"/>
        <v>230</v>
      </c>
      <c r="J534" s="89">
        <f t="shared" si="38"/>
        <v>435</v>
      </c>
      <c r="K534" s="89">
        <f t="shared" si="38"/>
        <v>1800</v>
      </c>
      <c r="L534" s="89">
        <f t="shared" si="38"/>
        <v>615169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0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500+18903</f>
        <v>19403</v>
      </c>
      <c r="I536" s="18"/>
      <c r="J536" s="18"/>
      <c r="K536" s="18"/>
      <c r="L536" s="88">
        <f>SUM(F536:K536)</f>
        <v>19403</v>
      </c>
      <c r="M536" s="8"/>
      <c r="N536" s="270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10422</v>
      </c>
      <c r="I537" s="18"/>
      <c r="J537" s="18"/>
      <c r="K537" s="18"/>
      <c r="L537" s="88">
        <f>SUM(F537:K537)</f>
        <v>10422</v>
      </c>
      <c r="M537" s="8"/>
      <c r="N537" s="270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f>102+14987</f>
        <v>15089</v>
      </c>
      <c r="I538" s="18"/>
      <c r="J538" s="18"/>
      <c r="K538" s="18"/>
      <c r="L538" s="88">
        <f>SUM(F538:K538)</f>
        <v>15089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44914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44914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0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133386</v>
      </c>
      <c r="G541" s="18">
        <v>31219</v>
      </c>
      <c r="H541" s="18">
        <v>78362</v>
      </c>
      <c r="I541" s="18"/>
      <c r="J541" s="18"/>
      <c r="K541" s="18"/>
      <c r="L541" s="88">
        <f>SUM(F541:K541)</f>
        <v>242967</v>
      </c>
      <c r="M541" s="8"/>
      <c r="N541" s="270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73542</v>
      </c>
      <c r="G542" s="18">
        <v>17213</v>
      </c>
      <c r="H542" s="18">
        <v>43204</v>
      </c>
      <c r="I542" s="18"/>
      <c r="J542" s="18"/>
      <c r="K542" s="18"/>
      <c r="L542" s="88">
        <f>SUM(F542:K542)</f>
        <v>133959</v>
      </c>
      <c r="M542" s="8"/>
      <c r="N542" s="270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105751</v>
      </c>
      <c r="G543" s="18">
        <v>24751</v>
      </c>
      <c r="H543" s="18">
        <v>62127</v>
      </c>
      <c r="I543" s="18"/>
      <c r="J543" s="18"/>
      <c r="K543" s="18"/>
      <c r="L543" s="88">
        <f>SUM(F543:K543)</f>
        <v>192629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312679</v>
      </c>
      <c r="G544" s="193">
        <f t="shared" ref="G544:L544" si="40">SUM(G541:G543)</f>
        <v>73183</v>
      </c>
      <c r="H544" s="193">
        <f t="shared" si="40"/>
        <v>183693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569555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5608361</v>
      </c>
      <c r="G545" s="89">
        <f t="shared" ref="G545:L545" si="41">G524+G529+G534+G539+G544</f>
        <v>2716547</v>
      </c>
      <c r="H545" s="89">
        <f t="shared" si="41"/>
        <v>2271133</v>
      </c>
      <c r="I545" s="89">
        <f t="shared" si="41"/>
        <v>29114</v>
      </c>
      <c r="J545" s="89">
        <f t="shared" si="41"/>
        <v>17173</v>
      </c>
      <c r="K545" s="89">
        <f t="shared" si="41"/>
        <v>1800</v>
      </c>
      <c r="L545" s="89">
        <f t="shared" si="41"/>
        <v>10644128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0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3385114</v>
      </c>
      <c r="G549" s="87">
        <f>L526</f>
        <v>845227</v>
      </c>
      <c r="H549" s="87">
        <f>L531</f>
        <v>217483</v>
      </c>
      <c r="I549" s="87">
        <f>L536</f>
        <v>19403</v>
      </c>
      <c r="J549" s="87">
        <f>L541</f>
        <v>242967</v>
      </c>
      <c r="K549" s="87">
        <f>SUM(F549:J549)</f>
        <v>4710194</v>
      </c>
      <c r="L549" s="24" t="s">
        <v>288</v>
      </c>
      <c r="M549" s="8"/>
      <c r="N549" s="270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1797712</v>
      </c>
      <c r="G550" s="87">
        <f>L527</f>
        <v>387771</v>
      </c>
      <c r="H550" s="87">
        <f>L532</f>
        <v>171251</v>
      </c>
      <c r="I550" s="87">
        <f>L537</f>
        <v>10422</v>
      </c>
      <c r="J550" s="87">
        <f>L542</f>
        <v>133959</v>
      </c>
      <c r="K550" s="87">
        <f>SUM(F550:J550)</f>
        <v>2501115</v>
      </c>
      <c r="L550" s="24" t="s">
        <v>288</v>
      </c>
      <c r="M550" s="8"/>
      <c r="N550" s="270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2437775</v>
      </c>
      <c r="G551" s="87">
        <f>L528</f>
        <v>560891</v>
      </c>
      <c r="H551" s="87">
        <f>L533</f>
        <v>226435</v>
      </c>
      <c r="I551" s="87">
        <f>L538</f>
        <v>15089</v>
      </c>
      <c r="J551" s="87">
        <f>L543</f>
        <v>192629</v>
      </c>
      <c r="K551" s="87">
        <f>SUM(F551:J551)</f>
        <v>3432819</v>
      </c>
      <c r="L551" s="24" t="s">
        <v>288</v>
      </c>
      <c r="M551" s="8"/>
      <c r="N551" s="270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7620601</v>
      </c>
      <c r="G552" s="89">
        <f t="shared" si="42"/>
        <v>1793889</v>
      </c>
      <c r="H552" s="89">
        <f t="shared" si="42"/>
        <v>615169</v>
      </c>
      <c r="I552" s="89">
        <f t="shared" si="42"/>
        <v>44914</v>
      </c>
      <c r="J552" s="89">
        <f t="shared" si="42"/>
        <v>569555</v>
      </c>
      <c r="K552" s="89">
        <f t="shared" si="42"/>
        <v>10644128</v>
      </c>
      <c r="L552" s="24"/>
      <c r="M552" s="8"/>
      <c r="N552" s="270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0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0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8924</v>
      </c>
      <c r="G562" s="18">
        <v>15291</v>
      </c>
      <c r="H562" s="18">
        <v>397</v>
      </c>
      <c r="I562" s="18"/>
      <c r="J562" s="18"/>
      <c r="K562" s="18"/>
      <c r="L562" s="88">
        <f>SUM(F562:K562)</f>
        <v>24612</v>
      </c>
      <c r="M562" s="8"/>
      <c r="N562" s="270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17848</v>
      </c>
      <c r="G563" s="18">
        <v>8431</v>
      </c>
      <c r="H563" s="18">
        <v>219</v>
      </c>
      <c r="I563" s="18"/>
      <c r="J563" s="18"/>
      <c r="K563" s="18"/>
      <c r="L563" s="88">
        <f>SUM(F563:K563)</f>
        <v>26498</v>
      </c>
      <c r="M563" s="8"/>
      <c r="N563" s="270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39692</v>
      </c>
      <c r="G564" s="18">
        <v>12123</v>
      </c>
      <c r="H564" s="18">
        <v>315</v>
      </c>
      <c r="I564" s="18"/>
      <c r="J564" s="18"/>
      <c r="K564" s="18"/>
      <c r="L564" s="88">
        <f>SUM(F564:K564)</f>
        <v>52130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66464</v>
      </c>
      <c r="G565" s="89">
        <f t="shared" si="44"/>
        <v>35845</v>
      </c>
      <c r="H565" s="89">
        <f t="shared" si="44"/>
        <v>931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103240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0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66464</v>
      </c>
      <c r="G571" s="89">
        <f t="shared" ref="G571:L571" si="46">G560+G565+G570</f>
        <v>35845</v>
      </c>
      <c r="H571" s="89">
        <f t="shared" si="46"/>
        <v>931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103240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0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0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0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0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0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f>135685+83127</f>
        <v>218812</v>
      </c>
      <c r="G579" s="18">
        <f>20357+45832</f>
        <v>66189</v>
      </c>
      <c r="H579" s="18">
        <f>17194+65905</f>
        <v>83099</v>
      </c>
      <c r="I579" s="87">
        <f t="shared" si="47"/>
        <v>368100</v>
      </c>
      <c r="J579" s="24" t="s">
        <v>288</v>
      </c>
      <c r="K579" s="24" t="s">
        <v>288</v>
      </c>
      <c r="L579" s="24" t="s">
        <v>288</v>
      </c>
      <c r="M579" s="8"/>
      <c r="N579" s="270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0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0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389959</v>
      </c>
      <c r="G582" s="18">
        <v>221454</v>
      </c>
      <c r="H582" s="18">
        <v>472509</v>
      </c>
      <c r="I582" s="87">
        <f t="shared" si="47"/>
        <v>1083922</v>
      </c>
      <c r="J582" s="24" t="s">
        <v>288</v>
      </c>
      <c r="K582" s="24" t="s">
        <v>288</v>
      </c>
      <c r="L582" s="24" t="s">
        <v>288</v>
      </c>
      <c r="M582" s="8"/>
      <c r="N582" s="270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0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227273</v>
      </c>
      <c r="I584" s="87">
        <f t="shared" si="47"/>
        <v>227273</v>
      </c>
      <c r="J584" s="24" t="s">
        <v>288</v>
      </c>
      <c r="K584" s="24" t="s">
        <v>288</v>
      </c>
      <c r="L584" s="24" t="s">
        <v>288</v>
      </c>
      <c r="M584" s="8"/>
      <c r="N584" s="270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0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0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0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47944+274322</f>
        <v>322266</v>
      </c>
      <c r="I591" s="18">
        <v>151246</v>
      </c>
      <c r="J591" s="18">
        <v>217488</v>
      </c>
      <c r="K591" s="104">
        <f t="shared" ref="K591:K597" si="48">SUM(H591:J591)</f>
        <v>691000</v>
      </c>
      <c r="L591" s="24" t="s">
        <v>288</v>
      </c>
      <c r="M591" s="8"/>
      <c r="N591" s="270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242968</v>
      </c>
      <c r="I592" s="18">
        <v>133959</v>
      </c>
      <c r="J592" s="18">
        <v>192630</v>
      </c>
      <c r="K592" s="104">
        <f t="shared" si="48"/>
        <v>569557</v>
      </c>
      <c r="L592" s="24" t="s">
        <v>288</v>
      </c>
      <c r="M592" s="8"/>
      <c r="N592" s="270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605</v>
      </c>
      <c r="I593" s="18">
        <v>334</v>
      </c>
      <c r="J593" s="18">
        <f>18141+480</f>
        <v>18621</v>
      </c>
      <c r="K593" s="104">
        <f t="shared" si="48"/>
        <v>19560</v>
      </c>
      <c r="L593" s="24" t="s">
        <v>288</v>
      </c>
      <c r="M593" s="8"/>
      <c r="N593" s="270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0</v>
      </c>
      <c r="I594" s="18"/>
      <c r="J594" s="18"/>
      <c r="K594" s="104">
        <f t="shared" si="48"/>
        <v>0</v>
      </c>
      <c r="L594" s="24" t="s">
        <v>288</v>
      </c>
      <c r="M594" s="8"/>
      <c r="N594" s="270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-1478+135</f>
        <v>-1343</v>
      </c>
      <c r="I595" s="18">
        <f>14136+74</f>
        <v>14210</v>
      </c>
      <c r="J595" s="18">
        <f>41823+107</f>
        <v>41930</v>
      </c>
      <c r="K595" s="104">
        <f t="shared" si="48"/>
        <v>54797</v>
      </c>
      <c r="L595" s="24" t="s">
        <v>288</v>
      </c>
      <c r="M595" s="8"/>
      <c r="N595" s="270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0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f>235641+141182-1</f>
        <v>376822</v>
      </c>
      <c r="I597" s="18">
        <f>129919+77840-1</f>
        <v>207758</v>
      </c>
      <c r="J597" s="18">
        <f>186821+111932-1</f>
        <v>298752</v>
      </c>
      <c r="K597" s="104">
        <f t="shared" si="48"/>
        <v>883332</v>
      </c>
      <c r="L597" s="24" t="s">
        <v>288</v>
      </c>
      <c r="M597" s="8"/>
      <c r="N597" s="270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941318</v>
      </c>
      <c r="I598" s="108">
        <f>SUM(I591:I597)</f>
        <v>507507</v>
      </c>
      <c r="J598" s="108">
        <f>SUM(J591:J597)</f>
        <v>769421</v>
      </c>
      <c r="K598" s="108">
        <f>SUM(K591:K597)</f>
        <v>2218246</v>
      </c>
      <c r="L598" s="24" t="s">
        <v>288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 t="s">
        <v>286</v>
      </c>
      <c r="I602" s="18"/>
      <c r="J602" s="18"/>
      <c r="K602" s="104">
        <f>SUM(H602:J602)</f>
        <v>0</v>
      </c>
      <c r="L602" s="24" t="s">
        <v>288</v>
      </c>
      <c r="M602" s="8"/>
      <c r="N602" s="270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0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29282+235994+945+12537+8890+3338</f>
        <v>290986</v>
      </c>
      <c r="I604" s="18">
        <f>39660+130114+4902+1840</f>
        <v>176516</v>
      </c>
      <c r="J604" s="18">
        <f>25800+187100+7049+2646-945+1</f>
        <v>221651</v>
      </c>
      <c r="K604" s="104">
        <f>SUM(H604:J604)</f>
        <v>689153</v>
      </c>
      <c r="L604" s="24" t="s">
        <v>288</v>
      </c>
      <c r="M604" s="8"/>
      <c r="N604" s="270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290986</v>
      </c>
      <c r="I605" s="108">
        <f>SUM(I602:I604)</f>
        <v>176516</v>
      </c>
      <c r="J605" s="108">
        <f>SUM(J602:J604)</f>
        <v>221651</v>
      </c>
      <c r="K605" s="108">
        <f>SUM(K602:K604)</f>
        <v>689153</v>
      </c>
      <c r="L605" s="24" t="s">
        <v>288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2676354</v>
      </c>
      <c r="H617" s="109">
        <f>SUM(F52)</f>
        <v>2676354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127263</v>
      </c>
      <c r="H618" s="109">
        <f>SUM(G52)</f>
        <v>127263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359127</v>
      </c>
      <c r="H619" s="109">
        <f>SUM(H52)</f>
        <v>359127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585680</v>
      </c>
      <c r="H621" s="109">
        <f>SUM(J52)</f>
        <v>585680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713782</v>
      </c>
      <c r="H622" s="109">
        <f>F476</f>
        <v>713782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-55623</v>
      </c>
      <c r="H624" s="109">
        <f>H476</f>
        <v>-55623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585680</v>
      </c>
      <c r="H626" s="109">
        <f>J476</f>
        <v>585680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36892104</v>
      </c>
      <c r="H627" s="104">
        <f>SUM(F468)</f>
        <v>36892104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1100588</v>
      </c>
      <c r="H628" s="104">
        <f>SUM(G468)</f>
        <v>1100588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1208819</v>
      </c>
      <c r="H629" s="104">
        <f>SUM(H468)</f>
        <v>1208819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14034</v>
      </c>
      <c r="H631" s="104">
        <f>SUM(J468)</f>
        <v>14034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37211278</v>
      </c>
      <c r="H632" s="104">
        <f>SUM(F472)</f>
        <v>37211278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1254775</v>
      </c>
      <c r="H633" s="104">
        <f>SUM(H472)</f>
        <v>1254775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510183</v>
      </c>
      <c r="H634" s="104">
        <f>I369</f>
        <v>510183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1100588</v>
      </c>
      <c r="H635" s="104">
        <f>SUM(G472)</f>
        <v>1100588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14034</v>
      </c>
      <c r="H637" s="164">
        <f>SUM(J468)</f>
        <v>14034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585680</v>
      </c>
      <c r="H639" s="104">
        <f>SUM(F461)</f>
        <v>585680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585680</v>
      </c>
      <c r="H642" s="104">
        <f>SUM(I461)</f>
        <v>585680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9216</v>
      </c>
      <c r="H644" s="104">
        <f>H408</f>
        <v>9216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14034</v>
      </c>
      <c r="H646" s="104">
        <f>L408</f>
        <v>14034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2218246</v>
      </c>
      <c r="H647" s="104">
        <f>L208+L226+L244</f>
        <v>2218246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689153</v>
      </c>
      <c r="H648" s="104">
        <f>(J257+J338)-(J255+J336)</f>
        <v>689153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941318</v>
      </c>
      <c r="H649" s="104">
        <f>H598</f>
        <v>941318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507507</v>
      </c>
      <c r="H650" s="104">
        <f>I598</f>
        <v>507507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769421</v>
      </c>
      <c r="H651" s="104">
        <f>J598</f>
        <v>769421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14328</v>
      </c>
      <c r="H652" s="104">
        <f>K263+K345</f>
        <v>14328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17285989</v>
      </c>
      <c r="G660" s="19">
        <f>(L229+L309+L359)</f>
        <v>9123069</v>
      </c>
      <c r="H660" s="19">
        <f>(L247+L328+L360)</f>
        <v>12668561</v>
      </c>
      <c r="I660" s="19">
        <f>SUM(F660:H660)</f>
        <v>39077619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248647.45311597071</v>
      </c>
      <c r="G661" s="19">
        <f>(L359/IF(SUM(L358:L360)=0,1,SUM(L358:L360))*(SUM(G97:G110)))</f>
        <v>128985.59624945938</v>
      </c>
      <c r="H661" s="19">
        <f>(L360/IF(SUM(L358:L360)=0,1,SUM(L358:L360))*(SUM(G97:G110)))</f>
        <v>265001.95063456986</v>
      </c>
      <c r="I661" s="19">
        <f>SUM(F661:H661)</f>
        <v>642635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842542</v>
      </c>
      <c r="G662" s="19">
        <f>(L226+L306)-(J226+J306)</f>
        <v>453048</v>
      </c>
      <c r="H662" s="19">
        <f>(L244+L325)-(J244+J325)</f>
        <v>691109</v>
      </c>
      <c r="I662" s="19">
        <f>SUM(F662:H662)</f>
        <v>1986699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899757</v>
      </c>
      <c r="G663" s="199">
        <f>SUM(G575:G587)+SUM(I602:I604)+L612</f>
        <v>464159</v>
      </c>
      <c r="H663" s="199">
        <f>SUM(H575:H587)+SUM(J602:J604)+L613</f>
        <v>1004532</v>
      </c>
      <c r="I663" s="19">
        <f>SUM(F663:H663)</f>
        <v>2368448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15295042.54688403</v>
      </c>
      <c r="G664" s="19">
        <f>G660-SUM(G661:G663)</f>
        <v>8076876.4037505407</v>
      </c>
      <c r="H664" s="19">
        <f>H660-SUM(H661:H663)</f>
        <v>10707918.049365431</v>
      </c>
      <c r="I664" s="19">
        <f>I660-SUM(I661:I663)</f>
        <v>34079837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1035.3800000000001</v>
      </c>
      <c r="G665" s="248">
        <v>570.85</v>
      </c>
      <c r="H665" s="248">
        <v>820.87</v>
      </c>
      <c r="I665" s="19">
        <f>SUM(F665:H665)</f>
        <v>2427.1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14772.4</v>
      </c>
      <c r="G667" s="19">
        <f>ROUND(G664/G665,2)</f>
        <v>14148.86</v>
      </c>
      <c r="H667" s="19">
        <f>ROUND(H664/H665,2)</f>
        <v>13044.6</v>
      </c>
      <c r="I667" s="19">
        <f>ROUND(I664/I665,2)</f>
        <v>14041.38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-36.56</v>
      </c>
      <c r="I670" s="19">
        <f>SUM(F670:H670)</f>
        <v>-36.56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14772.4</v>
      </c>
      <c r="G672" s="19">
        <f>ROUND((G664+G669)/(G665+G670),2)</f>
        <v>14148.86</v>
      </c>
      <c r="H672" s="19">
        <f>ROUND((H664+H669)/(H665+H670),2)</f>
        <v>13652.66</v>
      </c>
      <c r="I672" s="19">
        <f>ROUND((I664+I669)/(I665+I670),2)</f>
        <v>14256.12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MERRIMACK VALLEY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6" t="s">
        <v>783</v>
      </c>
      <c r="B3" s="276"/>
      <c r="C3" s="276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782</v>
      </c>
      <c r="C6" s="275"/>
    </row>
    <row r="7" spans="1:3" x14ac:dyDescent="0.2">
      <c r="A7" s="239" t="s">
        <v>785</v>
      </c>
      <c r="B7" s="273" t="s">
        <v>781</v>
      </c>
      <c r="C7" s="274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9678526</v>
      </c>
      <c r="C9" s="229">
        <f>'DOE25'!G197+'DOE25'!G215+'DOE25'!G233+'DOE25'!G276+'DOE25'!G295+'DOE25'!G314</f>
        <v>4428884</v>
      </c>
    </row>
    <row r="10" spans="1:3" x14ac:dyDescent="0.2">
      <c r="A10" t="s">
        <v>778</v>
      </c>
      <c r="B10" s="240">
        <v>8710673</v>
      </c>
      <c r="C10" s="240">
        <v>3985995.6</v>
      </c>
    </row>
    <row r="11" spans="1:3" x14ac:dyDescent="0.2">
      <c r="A11" t="s">
        <v>779</v>
      </c>
      <c r="B11" s="240">
        <v>967853</v>
      </c>
      <c r="C11" s="240">
        <v>442888.4</v>
      </c>
    </row>
    <row r="12" spans="1:3" x14ac:dyDescent="0.2">
      <c r="A12" t="s">
        <v>780</v>
      </c>
      <c r="B12" s="240">
        <v>0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9678526</v>
      </c>
      <c r="C13" s="231">
        <f>SUM(C10:C12)</f>
        <v>4428884</v>
      </c>
    </row>
    <row r="14" spans="1:3" x14ac:dyDescent="0.2">
      <c r="B14" s="230"/>
      <c r="C14" s="230"/>
    </row>
    <row r="15" spans="1:3" x14ac:dyDescent="0.2">
      <c r="B15" s="275" t="s">
        <v>782</v>
      </c>
      <c r="C15" s="275"/>
    </row>
    <row r="16" spans="1:3" x14ac:dyDescent="0.2">
      <c r="A16" s="239" t="s">
        <v>786</v>
      </c>
      <c r="B16" s="273" t="s">
        <v>706</v>
      </c>
      <c r="C16" s="274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3991844</v>
      </c>
      <c r="C18" s="229">
        <f>'DOE25'!G198+'DOE25'!G216+'DOE25'!G234+'DOE25'!G277+'DOE25'!G296+'DOE25'!G315</f>
        <v>2062002</v>
      </c>
    </row>
    <row r="19" spans="1:3" x14ac:dyDescent="0.2">
      <c r="A19" t="s">
        <v>778</v>
      </c>
      <c r="B19" s="240">
        <v>2395106</v>
      </c>
      <c r="C19" s="240">
        <v>1237201.2</v>
      </c>
    </row>
    <row r="20" spans="1:3" x14ac:dyDescent="0.2">
      <c r="A20" t="s">
        <v>779</v>
      </c>
      <c r="B20" s="240">
        <v>1596738</v>
      </c>
      <c r="C20" s="240">
        <v>824800.8</v>
      </c>
    </row>
    <row r="21" spans="1:3" x14ac:dyDescent="0.2">
      <c r="A21" t="s">
        <v>780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3991844</v>
      </c>
      <c r="C22" s="231">
        <f>SUM(C19:C21)</f>
        <v>2062002</v>
      </c>
    </row>
    <row r="23" spans="1:3" x14ac:dyDescent="0.2">
      <c r="B23" s="230"/>
      <c r="C23" s="230"/>
    </row>
    <row r="24" spans="1:3" x14ac:dyDescent="0.2">
      <c r="B24" s="275" t="s">
        <v>782</v>
      </c>
      <c r="C24" s="275"/>
    </row>
    <row r="25" spans="1:3" x14ac:dyDescent="0.2">
      <c r="A25" s="239" t="s">
        <v>787</v>
      </c>
      <c r="B25" s="273" t="s">
        <v>707</v>
      </c>
      <c r="C25" s="274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782</v>
      </c>
      <c r="C33" s="275"/>
    </row>
    <row r="34" spans="1:3" x14ac:dyDescent="0.2">
      <c r="A34" s="239" t="s">
        <v>788</v>
      </c>
      <c r="B34" s="273" t="s">
        <v>708</v>
      </c>
      <c r="C34" s="274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389062</v>
      </c>
      <c r="C36" s="235">
        <f>'DOE25'!G200+'DOE25'!G218+'DOE25'!G236+'DOE25'!G279+'DOE25'!G298+'DOE25'!G317</f>
        <v>97479</v>
      </c>
    </row>
    <row r="37" spans="1:3" x14ac:dyDescent="0.2">
      <c r="A37" t="s">
        <v>778</v>
      </c>
      <c r="B37" s="240">
        <v>389062</v>
      </c>
      <c r="C37" s="240">
        <v>97479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389062</v>
      </c>
      <c r="C40" s="231">
        <f>SUM(C37:C39)</f>
        <v>97479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789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716</v>
      </c>
      <c r="B2" s="265" t="str">
        <f>'DOE25'!A2</f>
        <v>MERRIMACK VALLEY SCHOOL DISTRICT</v>
      </c>
      <c r="C2" s="181"/>
      <c r="D2" s="181" t="s">
        <v>791</v>
      </c>
      <c r="E2" s="181" t="s">
        <v>793</v>
      </c>
      <c r="F2" s="277" t="s">
        <v>820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22305891</v>
      </c>
      <c r="D5" s="20">
        <f>SUM('DOE25'!L197:L200)+SUM('DOE25'!L215:L218)+SUM('DOE25'!L233:L236)-F5-G5</f>
        <v>22205936</v>
      </c>
      <c r="E5" s="243"/>
      <c r="F5" s="255">
        <f>SUM('DOE25'!J197:J200)+SUM('DOE25'!J215:J218)+SUM('DOE25'!J233:J236)</f>
        <v>93860</v>
      </c>
      <c r="G5" s="53">
        <f>SUM('DOE25'!K197:K200)+SUM('DOE25'!K215:K218)+SUM('DOE25'!K233:K236)</f>
        <v>6095</v>
      </c>
      <c r="H5" s="259"/>
    </row>
    <row r="6" spans="1:9" x14ac:dyDescent="0.2">
      <c r="A6" s="32">
        <v>2100</v>
      </c>
      <c r="B6" t="s">
        <v>800</v>
      </c>
      <c r="C6" s="245">
        <f t="shared" si="0"/>
        <v>4399900</v>
      </c>
      <c r="D6" s="20">
        <f>'DOE25'!L202+'DOE25'!L220+'DOE25'!L238-F6-G6</f>
        <v>4396873</v>
      </c>
      <c r="E6" s="243"/>
      <c r="F6" s="255">
        <f>'DOE25'!J202+'DOE25'!J220+'DOE25'!J238</f>
        <v>1227</v>
      </c>
      <c r="G6" s="53">
        <f>'DOE25'!K202+'DOE25'!K220+'DOE25'!K238</f>
        <v>1800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1405947</v>
      </c>
      <c r="D7" s="20">
        <f>'DOE25'!L203+'DOE25'!L221+'DOE25'!L239-F7-G7</f>
        <v>1242573</v>
      </c>
      <c r="E7" s="243"/>
      <c r="F7" s="255">
        <f>'DOE25'!J203+'DOE25'!J221+'DOE25'!J239</f>
        <v>163374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631110.24</v>
      </c>
      <c r="D8" s="243"/>
      <c r="E8" s="20">
        <f>'DOE25'!L204+'DOE25'!L222+'DOE25'!L240-F8-G8-D9-D11</f>
        <v>625528.24</v>
      </c>
      <c r="F8" s="255">
        <f>'DOE25'!J204+'DOE25'!J222+'DOE25'!J240</f>
        <v>0</v>
      </c>
      <c r="G8" s="53">
        <f>'DOE25'!K204+'DOE25'!K222+'DOE25'!K240</f>
        <v>5582</v>
      </c>
      <c r="H8" s="259"/>
    </row>
    <row r="9" spans="1:9" x14ac:dyDescent="0.2">
      <c r="A9" s="32">
        <v>2310</v>
      </c>
      <c r="B9" t="s">
        <v>817</v>
      </c>
      <c r="C9" s="245">
        <f t="shared" si="0"/>
        <v>20697.79</v>
      </c>
      <c r="D9" s="244">
        <v>20697.79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34482.550000000003</v>
      </c>
      <c r="D10" s="243"/>
      <c r="E10" s="244">
        <v>34482.550000000003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321605.96999999997</v>
      </c>
      <c r="D11" s="244">
        <v>321605.96999999997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1965482</v>
      </c>
      <c r="D12" s="20">
        <f>'DOE25'!L205+'DOE25'!L223+'DOE25'!L241-F12-G12</f>
        <v>1888270</v>
      </c>
      <c r="E12" s="243"/>
      <c r="F12" s="255">
        <f>'DOE25'!J205+'DOE25'!J223+'DOE25'!J241</f>
        <v>55019</v>
      </c>
      <c r="G12" s="53">
        <f>'DOE25'!K205+'DOE25'!K223+'DOE25'!K241</f>
        <v>22193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3477469</v>
      </c>
      <c r="D14" s="20">
        <f>'DOE25'!L207+'DOE25'!L225+'DOE25'!L243-F14-G14</f>
        <v>3374956</v>
      </c>
      <c r="E14" s="243"/>
      <c r="F14" s="255">
        <f>'DOE25'!J207+'DOE25'!J225+'DOE25'!J243</f>
        <v>102513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2218246</v>
      </c>
      <c r="D15" s="20">
        <f>'DOE25'!L208+'DOE25'!L226+'DOE25'!L244-F15-G15</f>
        <v>1985673</v>
      </c>
      <c r="E15" s="243"/>
      <c r="F15" s="255">
        <f>'DOE25'!J208+'DOE25'!J226+'DOE25'!J244</f>
        <v>231958</v>
      </c>
      <c r="G15" s="53">
        <f>'DOE25'!K208+'DOE25'!K226+'DOE25'!K244</f>
        <v>615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450601</v>
      </c>
      <c r="D22" s="243"/>
      <c r="E22" s="243"/>
      <c r="F22" s="255">
        <f>'DOE25'!L255+'DOE25'!L336</f>
        <v>450601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631708</v>
      </c>
      <c r="D29" s="20">
        <f>'DOE25'!L358+'DOE25'!L359+'DOE25'!L360-'DOE25'!I367-F29-G29</f>
        <v>630763</v>
      </c>
      <c r="E29" s="243"/>
      <c r="F29" s="255">
        <f>'DOE25'!J358+'DOE25'!J359+'DOE25'!J360</f>
        <v>945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1254775</v>
      </c>
      <c r="D31" s="20">
        <f>'DOE25'!L290+'DOE25'!L309+'DOE25'!L328+'DOE25'!L333+'DOE25'!L334+'DOE25'!L335-F31-G31</f>
        <v>1207101</v>
      </c>
      <c r="E31" s="243"/>
      <c r="F31" s="255">
        <f>'DOE25'!J290+'DOE25'!J309+'DOE25'!J328+'DOE25'!J333+'DOE25'!J334+'DOE25'!J335</f>
        <v>41202</v>
      </c>
      <c r="G31" s="53">
        <f>'DOE25'!K290+'DOE25'!K309+'DOE25'!K328+'DOE25'!K333+'DOE25'!K334+'DOE25'!K335</f>
        <v>6472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37274448.759999998</v>
      </c>
      <c r="E33" s="246">
        <f>SUM(E5:E31)</f>
        <v>660010.79</v>
      </c>
      <c r="F33" s="246">
        <f>SUM(F5:F31)</f>
        <v>1140699</v>
      </c>
      <c r="G33" s="246">
        <f>SUM(G5:G31)</f>
        <v>42757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660010.79</v>
      </c>
      <c r="E35" s="249"/>
    </row>
    <row r="36" spans="2:8" ht="12" thickTop="1" x14ac:dyDescent="0.2">
      <c r="B36" t="s">
        <v>814</v>
      </c>
      <c r="D36" s="20">
        <f>D33</f>
        <v>37274448.759999998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27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VALLEY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1995140</v>
      </c>
      <c r="D8" s="95">
        <f>'DOE25'!G9</f>
        <v>26365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34848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353969</v>
      </c>
      <c r="D11" s="95">
        <f>'DOE25'!G12</f>
        <v>14328</v>
      </c>
      <c r="E11" s="95">
        <f>'DOE25'!H12</f>
        <v>29112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202934</v>
      </c>
      <c r="D12" s="95">
        <f>'DOE25'!G13</f>
        <v>47533</v>
      </c>
      <c r="E12" s="95">
        <f>'DOE25'!H13</f>
        <v>313681</v>
      </c>
      <c r="F12" s="95">
        <f>'DOE25'!I13</f>
        <v>0</v>
      </c>
      <c r="G12" s="95">
        <f>'DOE25'!J13</f>
        <v>585680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89463</v>
      </c>
      <c r="D13" s="95">
        <f>'DOE25'!G14</f>
        <v>5085</v>
      </c>
      <c r="E13" s="95">
        <f>'DOE25'!H14</f>
        <v>16334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33952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2676354</v>
      </c>
      <c r="D18" s="41">
        <f>SUM(D8:D17)</f>
        <v>127263</v>
      </c>
      <c r="E18" s="41">
        <f>SUM(E8:E17)</f>
        <v>359127</v>
      </c>
      <c r="F18" s="41">
        <f>SUM(F8:F17)</f>
        <v>0</v>
      </c>
      <c r="G18" s="41">
        <f>SUM(G8:G17)</f>
        <v>585680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14328</v>
      </c>
      <c r="D21" s="95">
        <f>'DOE25'!G22</f>
        <v>86593</v>
      </c>
      <c r="E21" s="95">
        <f>'DOE25'!H22</f>
        <v>296488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185048</v>
      </c>
      <c r="D23" s="95">
        <f>'DOE25'!G24</f>
        <v>40670</v>
      </c>
      <c r="E23" s="95">
        <f>'DOE25'!H24</f>
        <v>7832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1667337</v>
      </c>
      <c r="D27" s="95">
        <f>'DOE25'!G28</f>
        <v>0</v>
      </c>
      <c r="E27" s="95">
        <f>'DOE25'!H28</f>
        <v>41508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20577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75282</v>
      </c>
      <c r="D29" s="95">
        <f>'DOE25'!G30</f>
        <v>0</v>
      </c>
      <c r="E29" s="95">
        <f>'DOE25'!H30</f>
        <v>68922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1962572</v>
      </c>
      <c r="D31" s="41">
        <f>SUM(D21:D30)</f>
        <v>127263</v>
      </c>
      <c r="E31" s="41">
        <f>SUM(E21:E30)</f>
        <v>414750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33952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-33952</v>
      </c>
      <c r="E47" s="95">
        <f>'DOE25'!H48</f>
        <v>-55623</v>
      </c>
      <c r="F47" s="95">
        <f>'DOE25'!I48</f>
        <v>0</v>
      </c>
      <c r="G47" s="95">
        <f>'DOE25'!J48</f>
        <v>585680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713782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713782</v>
      </c>
      <c r="D50" s="41">
        <f>SUM(D34:D49)</f>
        <v>0</v>
      </c>
      <c r="E50" s="41">
        <f>SUM(E34:E49)</f>
        <v>-55623</v>
      </c>
      <c r="F50" s="41">
        <f>SUM(F34:F49)</f>
        <v>0</v>
      </c>
      <c r="G50" s="41">
        <f>SUM(G34:G49)</f>
        <v>585680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2676354</v>
      </c>
      <c r="D51" s="41">
        <f>D50+D31</f>
        <v>127263</v>
      </c>
      <c r="E51" s="41">
        <f>E50+E31</f>
        <v>359127</v>
      </c>
      <c r="F51" s="41">
        <f>F50+F31</f>
        <v>0</v>
      </c>
      <c r="G51" s="41">
        <f>G50+G31</f>
        <v>585680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21766107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846224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236</v>
      </c>
      <c r="D59" s="95">
        <f>'DOE25'!G96</f>
        <v>12</v>
      </c>
      <c r="E59" s="95">
        <f>'DOE25'!H96</f>
        <v>0</v>
      </c>
      <c r="F59" s="95">
        <f>'DOE25'!I96</f>
        <v>0</v>
      </c>
      <c r="G59" s="95">
        <f>'DOE25'!J96</f>
        <v>9216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621940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119725</v>
      </c>
      <c r="D61" s="95">
        <f>SUM('DOE25'!G98:G110)</f>
        <v>20695</v>
      </c>
      <c r="E61" s="95">
        <f>SUM('DOE25'!H98:H110)</f>
        <v>100</v>
      </c>
      <c r="F61" s="95">
        <f>SUM('DOE25'!I98:I110)</f>
        <v>0</v>
      </c>
      <c r="G61" s="95">
        <f>SUM('DOE25'!J98:J110)</f>
        <v>4818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966185</v>
      </c>
      <c r="D62" s="130">
        <f>SUM(D57:D61)</f>
        <v>642647</v>
      </c>
      <c r="E62" s="130">
        <f>SUM(E57:E61)</f>
        <v>100</v>
      </c>
      <c r="F62" s="130">
        <f>SUM(F57:F61)</f>
        <v>0</v>
      </c>
      <c r="G62" s="130">
        <f>SUM(G57:G61)</f>
        <v>14034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22732292</v>
      </c>
      <c r="D63" s="22">
        <f>D56+D62</f>
        <v>642647</v>
      </c>
      <c r="E63" s="22">
        <f>E56+E62</f>
        <v>100</v>
      </c>
      <c r="F63" s="22">
        <f>F56+F62</f>
        <v>0</v>
      </c>
      <c r="G63" s="22">
        <f>G56+G62</f>
        <v>14034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10236884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3175552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1035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13413471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17704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283182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24252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43407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325138</v>
      </c>
      <c r="D78" s="130">
        <f>SUM(D72:D77)</f>
        <v>43407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13738609</v>
      </c>
      <c r="D81" s="130">
        <f>SUM(D79:D80)+D78+D70</f>
        <v>43407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-24693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421203</v>
      </c>
      <c r="D88" s="95">
        <f>SUM('DOE25'!G153:G161)</f>
        <v>400206</v>
      </c>
      <c r="E88" s="95">
        <f>SUM('DOE25'!H153:H161)</f>
        <v>1233412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421203</v>
      </c>
      <c r="D91" s="131">
        <f>SUM(D85:D90)</f>
        <v>400206</v>
      </c>
      <c r="E91" s="131">
        <f>SUM(E85:E90)</f>
        <v>1208719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14328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14328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36892104</v>
      </c>
      <c r="D104" s="86">
        <f>D63+D81+D91+D103</f>
        <v>1100588</v>
      </c>
      <c r="E104" s="86">
        <f>E63+E81+E91+E103</f>
        <v>1208819</v>
      </c>
      <c r="F104" s="86">
        <f>F63+F81+F91+F103</f>
        <v>0</v>
      </c>
      <c r="G104" s="86">
        <f>G63+G81+G103</f>
        <v>14034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14220601</v>
      </c>
      <c r="D109" s="24" t="s">
        <v>288</v>
      </c>
      <c r="E109" s="95">
        <f>('DOE25'!L276)+('DOE25'!L295)+('DOE25'!L314)</f>
        <v>416534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7273162</v>
      </c>
      <c r="D110" s="24" t="s">
        <v>288</v>
      </c>
      <c r="E110" s="95">
        <f>('DOE25'!L277)+('DOE25'!L296)+('DOE25'!L315)</f>
        <v>347435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227273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584855</v>
      </c>
      <c r="D112" s="24" t="s">
        <v>288</v>
      </c>
      <c r="E112" s="95">
        <f>+('DOE25'!L279)+('DOE25'!L298)+('DOE25'!L317)</f>
        <v>22784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24093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22305891</v>
      </c>
      <c r="D115" s="86">
        <f>SUM(D109:D114)</f>
        <v>0</v>
      </c>
      <c r="E115" s="86">
        <f>SUM(E109:E114)</f>
        <v>810846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4399900</v>
      </c>
      <c r="D118" s="24" t="s">
        <v>288</v>
      </c>
      <c r="E118" s="95">
        <f>+('DOE25'!L281)+('DOE25'!L300)+('DOE25'!L319)</f>
        <v>141261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1405947</v>
      </c>
      <c r="D119" s="24" t="s">
        <v>288</v>
      </c>
      <c r="E119" s="95">
        <f>+('DOE25'!L282)+('DOE25'!L301)+('DOE25'!L320)</f>
        <v>292680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973414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1965482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6472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3477469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2218246</v>
      </c>
      <c r="D124" s="24" t="s">
        <v>288</v>
      </c>
      <c r="E124" s="95">
        <f>+('DOE25'!L287)+('DOE25'!L306)+('DOE25'!L325)</f>
        <v>411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3105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1100588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14440458</v>
      </c>
      <c r="D128" s="86">
        <f>SUM(D118:D127)</f>
        <v>1100588</v>
      </c>
      <c r="E128" s="86">
        <f>SUM(E118:E127)</f>
        <v>443929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450601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14328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14034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-14034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464929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37211278</v>
      </c>
      <c r="D145" s="86">
        <f>(D115+D128+D144)</f>
        <v>1100588</v>
      </c>
      <c r="E145" s="86">
        <f>(E115+E128+E144)</f>
        <v>1254775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739</v>
      </c>
      <c r="B1" s="281"/>
      <c r="C1" s="281"/>
      <c r="D1" s="281"/>
    </row>
    <row r="2" spans="1:4" x14ac:dyDescent="0.2">
      <c r="A2" s="187" t="s">
        <v>716</v>
      </c>
      <c r="B2" s="186" t="str">
        <f>'DOE25'!A2</f>
        <v>MERRIMACK VALLEY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14772</v>
      </c>
    </row>
    <row r="5" spans="1:4" x14ac:dyDescent="0.2">
      <c r="B5" t="s">
        <v>703</v>
      </c>
      <c r="C5" s="179">
        <f>IF('DOE25'!G665+'DOE25'!G670=0,0,ROUND('DOE25'!G672,0))</f>
        <v>14149</v>
      </c>
    </row>
    <row r="6" spans="1:4" x14ac:dyDescent="0.2">
      <c r="B6" t="s">
        <v>62</v>
      </c>
      <c r="C6" s="179">
        <f>IF('DOE25'!H665+'DOE25'!H670=0,0,ROUND('DOE25'!H672,0))</f>
        <v>13653</v>
      </c>
    </row>
    <row r="7" spans="1:4" x14ac:dyDescent="0.2">
      <c r="B7" t="s">
        <v>704</v>
      </c>
      <c r="C7" s="179">
        <f>IF('DOE25'!I665+'DOE25'!I670=0,0,ROUND('DOE25'!I672,0))</f>
        <v>14256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14637135</v>
      </c>
      <c r="D10" s="182">
        <f>ROUND((C10/$C$28)*100,1)</f>
        <v>38.1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7620597</v>
      </c>
      <c r="D11" s="182">
        <f>ROUND((C11/$C$28)*100,1)</f>
        <v>19.8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227273</v>
      </c>
      <c r="D12" s="182">
        <f>ROUND((C12/$C$28)*100,1)</f>
        <v>0.6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607639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4541161</v>
      </c>
      <c r="D15" s="182">
        <f t="shared" ref="D15:D27" si="0">ROUND((C15/$C$28)*100,1)</f>
        <v>11.8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1698627</v>
      </c>
      <c r="D16" s="182">
        <f t="shared" si="0"/>
        <v>4.4000000000000004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976519</v>
      </c>
      <c r="D17" s="182">
        <f t="shared" si="0"/>
        <v>2.5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1965482</v>
      </c>
      <c r="D18" s="182">
        <f t="shared" si="0"/>
        <v>5.0999999999999996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6472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3477469</v>
      </c>
      <c r="D20" s="182">
        <f t="shared" si="0"/>
        <v>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2218657</v>
      </c>
      <c r="D21" s="182">
        <f t="shared" si="0"/>
        <v>5.8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24093</v>
      </c>
      <c r="D24" s="182">
        <f t="shared" si="0"/>
        <v>0.1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457953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38459077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450601</v>
      </c>
    </row>
    <row r="30" spans="1:4" x14ac:dyDescent="0.2">
      <c r="B30" s="187" t="s">
        <v>728</v>
      </c>
      <c r="C30" s="180">
        <f>SUM(C28:C29)</f>
        <v>38909678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21766107</v>
      </c>
      <c r="D35" s="182">
        <f t="shared" ref="D35:D40" si="1">ROUND((C35/$C$41)*100,1)</f>
        <v>56.4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980331</v>
      </c>
      <c r="D36" s="182">
        <f t="shared" si="1"/>
        <v>2.5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13412436</v>
      </c>
      <c r="D37" s="182">
        <f t="shared" si="1"/>
        <v>34.799999999999997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369580</v>
      </c>
      <c r="D38" s="182">
        <f t="shared" si="1"/>
        <v>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2030128</v>
      </c>
      <c r="D39" s="182">
        <f t="shared" si="1"/>
        <v>5.3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38558582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86" t="s">
        <v>766</v>
      </c>
      <c r="B2" s="287"/>
      <c r="C2" s="287"/>
      <c r="D2" s="287"/>
      <c r="E2" s="287"/>
      <c r="F2" s="292" t="str">
        <f>'DOE25'!A2</f>
        <v>MERRIMACK VALLEY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9" t="s">
        <v>847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AB0A" sheet="1" objects="1" scenarios="1"/>
  <mergeCells count="223"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52:M52"/>
    <mergeCell ref="C50:M50"/>
    <mergeCell ref="C47:M47"/>
    <mergeCell ref="C48:M48"/>
    <mergeCell ref="C49:M49"/>
    <mergeCell ref="C39:M39"/>
    <mergeCell ref="C40:M40"/>
    <mergeCell ref="P31:Z31"/>
    <mergeCell ref="AC31:AM31"/>
    <mergeCell ref="P40:Z40"/>
    <mergeCell ref="AC40:AM40"/>
    <mergeCell ref="C31:M31"/>
    <mergeCell ref="C42:M42"/>
    <mergeCell ref="C41:M41"/>
    <mergeCell ref="C33:M33"/>
    <mergeCell ref="C37:M37"/>
    <mergeCell ref="C46:M46"/>
    <mergeCell ref="C44:M44"/>
    <mergeCell ref="C43:M43"/>
    <mergeCell ref="C34:M34"/>
    <mergeCell ref="C35:M35"/>
    <mergeCell ref="C36:M36"/>
    <mergeCell ref="C38:M38"/>
    <mergeCell ref="AP31:AZ31"/>
    <mergeCell ref="P32:Z32"/>
    <mergeCell ref="C15:M15"/>
    <mergeCell ref="C16:M16"/>
    <mergeCell ref="C17:M17"/>
    <mergeCell ref="C18:M18"/>
    <mergeCell ref="C19:M19"/>
    <mergeCell ref="C20:M20"/>
    <mergeCell ref="P29:Z29"/>
    <mergeCell ref="AC29:AM29"/>
    <mergeCell ref="AC32:AM32"/>
    <mergeCell ref="C21:M21"/>
    <mergeCell ref="C22:M22"/>
    <mergeCell ref="C23:M23"/>
    <mergeCell ref="C24:M24"/>
    <mergeCell ref="C29:M29"/>
    <mergeCell ref="C25:M25"/>
    <mergeCell ref="C26:M26"/>
    <mergeCell ref="C27:M27"/>
    <mergeCell ref="AP29:AZ29"/>
    <mergeCell ref="C28:M28"/>
    <mergeCell ref="C32:M32"/>
    <mergeCell ref="C30:M30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14:M14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IP29:IV29"/>
    <mergeCell ref="P30:Z30"/>
    <mergeCell ref="AC30:AM30"/>
    <mergeCell ref="AP30:AZ30"/>
    <mergeCell ref="GC30:GM30"/>
    <mergeCell ref="GP30:GZ30"/>
    <mergeCell ref="EP30:EZ30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FC30:FM30"/>
    <mergeCell ref="FP30:FZ30"/>
    <mergeCell ref="FC31:FM31"/>
    <mergeCell ref="FP31:FZ31"/>
    <mergeCell ref="GC31:GM31"/>
    <mergeCell ref="GP31:GZ31"/>
    <mergeCell ref="HC31:HM31"/>
    <mergeCell ref="EC32:EM32"/>
    <mergeCell ref="EP32:EZ32"/>
    <mergeCell ref="FC32:FM32"/>
    <mergeCell ref="AP32:AZ32"/>
    <mergeCell ref="BP32:BZ32"/>
    <mergeCell ref="GC32:GM32"/>
    <mergeCell ref="IC32:IM32"/>
    <mergeCell ref="IP39:IV39"/>
    <mergeCell ref="EP39:EZ39"/>
    <mergeCell ref="FC39:FM39"/>
    <mergeCell ref="FP39:FZ39"/>
    <mergeCell ref="GP39:GZ39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HP38:HZ38"/>
    <mergeCell ref="IC38:IM38"/>
    <mergeCell ref="IP38:IV38"/>
    <mergeCell ref="CC38:CM38"/>
    <mergeCell ref="GC40:GM40"/>
    <mergeCell ref="GP40:GZ40"/>
    <mergeCell ref="HC40:HM40"/>
    <mergeCell ref="HP40:HZ40"/>
    <mergeCell ref="EC40:EM40"/>
    <mergeCell ref="DP40:DZ40"/>
    <mergeCell ref="BC40:BM40"/>
    <mergeCell ref="HC39:HM39"/>
    <mergeCell ref="DC39:DM39"/>
    <mergeCell ref="DP39:DZ39"/>
    <mergeCell ref="EC39:EM39"/>
    <mergeCell ref="GC39:GM39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8:CZ38"/>
    <mergeCell ref="BC38:BM38"/>
    <mergeCell ref="P39:Z39"/>
    <mergeCell ref="AC39:AM39"/>
    <mergeCell ref="AP39:AZ39"/>
    <mergeCell ref="HP39:HZ39"/>
    <mergeCell ref="IC39:IM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2017-10-10T15:43:50Z</cp:lastPrinted>
  <dcterms:created xsi:type="dcterms:W3CDTF">1997-12-04T19:04:30Z</dcterms:created>
  <dcterms:modified xsi:type="dcterms:W3CDTF">2017-11-29T17:41:46Z</dcterms:modified>
</cp:coreProperties>
</file>