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D6" i="13" s="1"/>
  <c r="C6" i="13" s="1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C29" i="10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I545" i="1" s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 s="1"/>
  <c r="G647" i="1" s="1"/>
  <c r="J647" i="1" s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G641" i="1"/>
  <c r="H641" i="1"/>
  <c r="H642" i="1"/>
  <c r="G643" i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18" i="2"/>
  <c r="C26" i="10"/>
  <c r="L328" i="1"/>
  <c r="H660" i="1" s="1"/>
  <c r="L351" i="1"/>
  <c r="L290" i="1"/>
  <c r="A31" i="12"/>
  <c r="C70" i="2"/>
  <c r="A40" i="12"/>
  <c r="D18" i="13"/>
  <c r="C18" i="13" s="1"/>
  <c r="D15" i="13"/>
  <c r="C15" i="13" s="1"/>
  <c r="D18" i="2"/>
  <c r="D17" i="13"/>
  <c r="C17" i="13" s="1"/>
  <c r="E8" i="13"/>
  <c r="C8" i="13" s="1"/>
  <c r="C91" i="2"/>
  <c r="F78" i="2"/>
  <c r="F81" i="2" s="1"/>
  <c r="C78" i="2"/>
  <c r="D50" i="2"/>
  <c r="G157" i="2"/>
  <c r="G161" i="2"/>
  <c r="E115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J643" i="1"/>
  <c r="J476" i="1"/>
  <c r="H626" i="1" s="1"/>
  <c r="G476" i="1"/>
  <c r="H623" i="1" s="1"/>
  <c r="J623" i="1" s="1"/>
  <c r="F169" i="1"/>
  <c r="J140" i="1"/>
  <c r="F571" i="1"/>
  <c r="I552" i="1"/>
  <c r="K550" i="1"/>
  <c r="G22" i="2"/>
  <c r="K545" i="1"/>
  <c r="J552" i="1"/>
  <c r="H552" i="1"/>
  <c r="H140" i="1"/>
  <c r="L393" i="1"/>
  <c r="C138" i="2" s="1"/>
  <c r="F22" i="13"/>
  <c r="H25" i="13"/>
  <c r="C25" i="13" s="1"/>
  <c r="J651" i="1"/>
  <c r="J640" i="1"/>
  <c r="H571" i="1"/>
  <c r="L560" i="1"/>
  <c r="H338" i="1"/>
  <c r="H352" i="1" s="1"/>
  <c r="F338" i="1"/>
  <c r="F352" i="1" s="1"/>
  <c r="G192" i="1"/>
  <c r="H192" i="1"/>
  <c r="F552" i="1"/>
  <c r="C35" i="10"/>
  <c r="L309" i="1"/>
  <c r="L570" i="1"/>
  <c r="I571" i="1"/>
  <c r="G36" i="2"/>
  <c r="L565" i="1"/>
  <c r="H545" i="1"/>
  <c r="K551" i="1"/>
  <c r="C22" i="13"/>
  <c r="A13" i="12" l="1"/>
  <c r="G625" i="1"/>
  <c r="J625" i="1"/>
  <c r="F18" i="2"/>
  <c r="C11" i="10"/>
  <c r="C110" i="2"/>
  <c r="C115" i="2" s="1"/>
  <c r="H257" i="1"/>
  <c r="H271" i="1" s="1"/>
  <c r="C109" i="2"/>
  <c r="J622" i="1"/>
  <c r="G545" i="1"/>
  <c r="L545" i="1"/>
  <c r="K549" i="1"/>
  <c r="K552" i="1" s="1"/>
  <c r="H33" i="13"/>
  <c r="K271" i="1"/>
  <c r="D12" i="13"/>
  <c r="C12" i="13" s="1"/>
  <c r="C17" i="10"/>
  <c r="C121" i="2"/>
  <c r="C120" i="2"/>
  <c r="E33" i="13"/>
  <c r="D35" i="13" s="1"/>
  <c r="D7" i="13"/>
  <c r="C7" i="13" s="1"/>
  <c r="L382" i="1"/>
  <c r="G636" i="1" s="1"/>
  <c r="J636" i="1" s="1"/>
  <c r="J644" i="1"/>
  <c r="I446" i="1"/>
  <c r="G642" i="1" s="1"/>
  <c r="J642" i="1" s="1"/>
  <c r="G408" i="1"/>
  <c r="H645" i="1" s="1"/>
  <c r="J645" i="1" s="1"/>
  <c r="D29" i="13"/>
  <c r="C29" i="13" s="1"/>
  <c r="F661" i="1"/>
  <c r="J634" i="1"/>
  <c r="H476" i="1"/>
  <c r="H624" i="1" s="1"/>
  <c r="J624" i="1" s="1"/>
  <c r="D5" i="13"/>
  <c r="C5" i="13" s="1"/>
  <c r="C16" i="10"/>
  <c r="L211" i="1"/>
  <c r="L257" i="1" s="1"/>
  <c r="L271" i="1" s="1"/>
  <c r="G632" i="1" s="1"/>
  <c r="J632" i="1" s="1"/>
  <c r="C10" i="10"/>
  <c r="H664" i="1"/>
  <c r="H672" i="1" s="1"/>
  <c r="C6" i="10" s="1"/>
  <c r="G661" i="1"/>
  <c r="I661" i="1" s="1"/>
  <c r="D127" i="2"/>
  <c r="D128" i="2" s="1"/>
  <c r="D145" i="2" s="1"/>
  <c r="L362" i="1"/>
  <c r="G635" i="1" s="1"/>
  <c r="J635" i="1" s="1"/>
  <c r="H52" i="1"/>
  <c r="H619" i="1" s="1"/>
  <c r="J619" i="1" s="1"/>
  <c r="C81" i="2"/>
  <c r="F112" i="1"/>
  <c r="C36" i="10" s="1"/>
  <c r="C62" i="2"/>
  <c r="C63" i="2" s="1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I663" i="1"/>
  <c r="F104" i="2" l="1"/>
  <c r="C128" i="2"/>
  <c r="C145" i="2" s="1"/>
  <c r="I193" i="1"/>
  <c r="G630" i="1" s="1"/>
  <c r="J630" i="1" s="1"/>
  <c r="G104" i="2"/>
  <c r="H646" i="1"/>
  <c r="F660" i="1"/>
  <c r="I660" i="1" s="1"/>
  <c r="I664" i="1" s="1"/>
  <c r="I672" i="1" s="1"/>
  <c r="C7" i="10" s="1"/>
  <c r="H667" i="1"/>
  <c r="G664" i="1"/>
  <c r="G672" i="1" s="1"/>
  <c r="C5" i="10" s="1"/>
  <c r="C27" i="10"/>
  <c r="C28" i="10" s="1"/>
  <c r="D23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D21" i="10"/>
  <c r="D13" i="10"/>
  <c r="G667" i="1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<sst xmlns="http://schemas.openxmlformats.org/spreadsheetml/2006/main" count="3957" uniqueCount="915">
  <si>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</si>
  <si>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</si>
  <si>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</si>
  <si>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</si>
  <si>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</si>
  <si>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</si>
  <si>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</si>
  <si>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</si>
  <si>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</si>
  <si>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</si>
  <si>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</si>
  <si>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</si>
  <si>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</si>
  <si>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</si>
  <si>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</si>
  <si>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</si>
  <si>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</si>
  <si>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</si>
  <si>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</si>
  <si>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</si>
  <si>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</si>
  <si>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</si>
  <si>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</si>
  <si>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</si>
  <si>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</si>
  <si>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</si>
  <si>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</si>
  <si>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</si>
  <si>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</si>
  <si>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</si>
  <si>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</si>
  <si>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</si>
  <si>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</si>
  <si>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</si>
  <si>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</si>
  <si>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</si>
  <si>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</si>
  <si>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</si>
  <si>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</si>
  <si>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</si>
  <si>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</si>
  <si>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</si>
  <si>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</si>
  <si>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</si>
  <si>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</si>
  <si>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</si>
  <si>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</si>
  <si>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</si>
  <si>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</si>
  <si>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</si>
  <si>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</si>
  <si>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</si>
  <si>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</si>
  <si>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</si>
  <si>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</si>
  <si>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</si>
  <si>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</si>
  <si>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</si>
  <si>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</si>
  <si>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</si>
  <si>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</si>
  <si>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</si>
  <si>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</si>
  <si>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</si>
  <si>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</si>
  <si>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</si>
  <si>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</si>
  <si>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</si>
  <si>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</si>
  <si>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</si>
  <si>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</si>
  <si>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</si>
  <si>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</si>
  <si>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</si>
  <si>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</si>
  <si>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</si>
  <si>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</si>
  <si>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</si>
  <si>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</si>
  <si>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</si>
  <si>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</si>
  <si>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</si>
  <si>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</si>
  <si>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</si>
  <si>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</si>
  <si>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</si>
  <si>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</si>
  <si>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</si>
  <si>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</si>
  <si>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</si>
  <si>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</si>
  <si>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</si>
  <si>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</si>
  <si>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</si>
  <si>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</si>
  <si>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</si>
  <si>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</si>
  <si>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</si>
  <si>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</si>
  <si>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</si>
  <si>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</si>
  <si>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</si>
  <si>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</si>
  <si>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</si>
  <si>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</si>
  <si>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</si>
  <si>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</si>
  <si>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</si>
  <si>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</si>
  <si>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</si>
  <si>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</si>
  <si>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</si>
  <si>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</si>
  <si>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</si>
  <si>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</si>
  <si>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</si>
  <si>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</si>
  <si>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</si>
  <si>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</si>
  <si>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</si>
  <si>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</si>
  <si>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</si>
  <si>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</si>
  <si>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</si>
  <si>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</si>
  <si>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</si>
  <si>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</si>
  <si>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</si>
  <si>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</si>
  <si>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</si>
  <si>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</si>
  <si>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</si>
  <si>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</si>
  <si>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</si>
  <si>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</si>
  <si>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</si>
  <si>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</si>
  <si>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</si>
  <si>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</si>
  <si>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</si>
  <si>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</si>
  <si>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</si>
  <si>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</si>
  <si>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</si>
  <si>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</si>
  <si>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</si>
  <si>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</si>
  <si>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</si>
  <si>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</si>
  <si>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</si>
  <si>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</si>
  <si>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</si>
  <si>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</si>
  <si>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</si>
  <si>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</si>
  <si>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</si>
  <si>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</si>
  <si>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</si>
  <si>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</si>
  <si>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</si>
  <si>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</si>
  <si>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</si>
  <si>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</si>
  <si>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</si>
  <si>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</si>
  <si>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</si>
  <si>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</si>
  <si>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</si>
  <si>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</si>
  <si>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</si>
  <si>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</si>
  <si>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</si>
  <si>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</si>
  <si>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</si>
  <si>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</si>
  <si>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</si>
  <si>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</si>
  <si>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</si>
  <si>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</si>
  <si>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</si>
  <si>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</si>
  <si>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</si>
  <si>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</si>
  <si>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</si>
  <si>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</si>
  <si>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</si>
  <si>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</si>
  <si>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</si>
  <si>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</si>
  <si>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</si>
  <si>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</si>
  <si>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</si>
  <si>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</si>
  <si>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</si>
  <si>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</si>
  <si>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</si>
  <si>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</si>
  <si>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</si>
  <si>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</si>
  <si>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</si>
  <si>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</si>
  <si>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</si>
  <si>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</si>
  <si>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</si>
  <si>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</si>
  <si>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</si>
  <si>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</si>
  <si>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</si>
  <si>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</si>
  <si>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</si>
  <si>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</si>
  <si>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</si>
  <si>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</si>
  <si>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</si>
  <si>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</si>
  <si>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</si>
  <si>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</si>
  <si>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</si>
  <si>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</si>
  <si>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</si>
  <si>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</si>
  <si>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</si>
  <si>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</si>
  <si>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</si>
  <si>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</si>
  <si>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</si>
  <si>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</si>
  <si>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</si>
  <si>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</si>
  <si>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</si>
  <si>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</si>
  <si>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</si>
  <si>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</si>
  <si>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</si>
  <si>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</si>
  <si>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</si>
  <si>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</si>
  <si>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</si>
  <si>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</si>
  <si>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</si>
  <si>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</si>
  <si>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</si>
  <si>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</si>
  <si>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</si>
  <si>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</si>
  <si>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</si>
  <si>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</si>
  <si>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</si>
  <si>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</si>
  <si>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</si>
  <si>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</si>
  <si>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</si>
  <si>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</si>
  <si>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</si>
  <si>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</si>
  <si>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</si>
  <si>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</si>
  <si>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</si>
  <si>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</si>
  <si>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</si>
  <si>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</si>
  <si>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</si>
  <si>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</si>
  <si>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</si>
  <si>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</si>
  <si>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</si>
  <si>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</si>
  <si>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</si>
  <si>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</si>
  <si>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</si>
  <si>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</si>
  <si>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</si>
  <si>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</si>
  <si>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</si>
  <si>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</si>
  <si>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</si>
  <si>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</si>
  <si>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</si>
  <si>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</si>
  <si>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</si>
  <si>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</si>
  <si>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</si>
  <si>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</si>
  <si>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</si>
  <si>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</si>
  <si>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</si>
  <si>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</si>
  <si>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</si>
  <si>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</si>
  <si>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</si>
  <si>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</si>
  <si>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</si>
  <si>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</si>
  <si>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</si>
  <si>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</si>
  <si>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</si>
  <si>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</si>
  <si>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</si>
  <si>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</si>
  <si>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</si>
  <si>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</si>
  <si>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</si>
  <si>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</si>
  <si>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</si>
  <si>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</si>
  <si>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</si>
  <si>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</si>
  <si>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</si>
  <si>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</si>
  <si>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</si>
  <si>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</si>
  <si>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</si>
  <si>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</si>
  <si>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</si>
  <si>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</si>
  <si>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</si>
  <si>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</si>
  <si>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</si>
  <si>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</si>
  <si>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</si>
  <si>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</si>
  <si>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</si>
  <si>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</si>
  <si>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</si>
  <si>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</si>
  <si>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</si>
  <si>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</si>
  <si>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</si>
  <si>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</si>
  <si>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</si>
  <si>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</si>
  <si>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</si>
  <si>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</si>
  <si>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</si>
  <si>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</si>
  <si>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</si>
  <si>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</si>
  <si>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</si>
  <si>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</si>
  <si>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</si>
  <si>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</si>
  <si>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</si>
  <si>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</si>
  <si>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</si>
  <si>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</si>
  <si>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</si>
  <si>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</si>
  <si>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</si>
  <si>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</si>
  <si>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</si>
  <si>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</si>
  <si>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</si>
  <si>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</si>
  <si>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</si>
  <si>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</si>
  <si>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</si>
  <si>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</si>
  <si>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</si>
  <si>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</si>
  <si>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</si>
  <si>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</si>
  <si>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</si>
  <si>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</si>
  <si>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</si>
  <si>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</si>
  <si>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</si>
  <si>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</si>
  <si>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</si>
  <si>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</si>
  <si>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</si>
  <si>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</si>
  <si>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</si>
  <si>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</si>
  <si>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</si>
  <si>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</si>
  <si>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</si>
  <si>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</si>
  <si>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</si>
  <si>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</si>
  <si>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</si>
  <si>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</si>
  <si>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</si>
  <si>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</si>
  <si>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</si>
  <si>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</si>
  <si>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</si>
  <si>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</si>
  <si>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</si>
  <si>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</si>
  <si>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</si>
  <si>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</si>
  <si>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</si>
  <si>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</si>
  <si>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</si>
  <si>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</si>
  <si>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</si>
  <si>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</si>
  <si>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</si>
  <si>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</si>
  <si>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</si>
  <si>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</si>
  <si>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</si>
  <si>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</si>
  <si>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</si>
  <si>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</si>
  <si>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</si>
  <si>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</si>
  <si>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</si>
  <si>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</si>
  <si>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</si>
  <si>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</si>
  <si>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</si>
  <si>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</si>
  <si>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</si>
  <si>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</si>
  <si>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</si>
  <si>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</si>
  <si>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</si>
  <si>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</si>
  <si>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</si>
  <si>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</si>
  <si>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</si>
  <si>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</si>
  <si>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</si>
  <si>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</si>
  <si>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</si>
  <si>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</si>
  <si>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</si>
  <si>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</si>
  <si>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</si>
  <si>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</si>
  <si>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</si>
  <si>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</si>
  <si>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</si>
  <si>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</si>
  <si>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</si>
  <si>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</si>
  <si>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</si>
  <si>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</si>
  <si>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</si>
  <si>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</si>
  <si>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</si>
  <si>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</si>
  <si>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</si>
  <si>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</si>
  <si>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</si>
  <si>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</si>
  <si>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</si>
  <si>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</si>
  <si>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</si>
  <si>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</si>
  <si>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</si>
  <si>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</si>
  <si>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</si>
  <si>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</si>
  <si>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</si>
  <si>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</si>
  <si>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</si>
  <si>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</si>
  <si>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</si>
  <si>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</si>
  <si>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</si>
  <si>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</si>
  <si>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</si>
  <si>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</si>
  <si>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</si>
  <si>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</si>
  <si>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</si>
  <si>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</si>
  <si>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</si>
  <si>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</si>
  <si>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</si>
  <si>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</si>
  <si>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</si>
  <si>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</si>
  <si>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</si>
  <si>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</si>
  <si>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</si>
  <si>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</si>
  <si>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</si>
  <si>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</si>
  <si>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</si>
  <si>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</si>
  <si>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</si>
  <si>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</si>
  <si>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</si>
  <si>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</si>
  <si>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</si>
  <si>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</si>
  <si>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</si>
  <si>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</si>
  <si>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</si>
  <si>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</si>
  <si>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</si>
  <si>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</si>
  <si>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</si>
  <si>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</si>
  <si>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</si>
  <si>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</si>
  <si>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</si>
  <si>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</si>
  <si>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</si>
  <si>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</si>
  <si>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</si>
  <si>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</si>
  <si>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</si>
  <si>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</si>
  <si>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</si>
  <si>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</si>
  <si>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</si>
  <si>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</si>
  <si>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</si>
  <si>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</si>
  <si>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</si>
  <si>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</si>
  <si>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</si>
  <si>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</si>
  <si>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</si>
  <si>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</si>
  <si>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</si>
  <si>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</si>
  <si>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</si>
  <si>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</si>
  <si>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</si>
  <si>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</si>
  <si>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</si>
  <si>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</si>
  <si>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</si>
  <si>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</si>
  <si>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</si>
  <si>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</si>
  <si>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</si>
  <si>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</si>
  <si>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</si>
  <si>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</si>
  <si>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</si>
  <si>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</si>
  <si>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</si>
  <si>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</si>
  <si>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</si>
  <si>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</si>
  <si>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</si>
  <si>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</si>
  <si>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</si>
  <si>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</si>
  <si>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</si>
  <si>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</si>
  <si>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</si>
  <si>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</si>
  <si>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</si>
  <si>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</si>
  <si>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</si>
  <si>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</si>
  <si>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</si>
  <si>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</si>
  <si>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</si>
  <si>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</si>
  <si>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</si>
  <si>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</si>
  <si>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</si>
  <si>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</si>
  <si>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</si>
  <si>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</si>
  <si>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</si>
  <si>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</si>
  <si>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</si>
  <si>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</si>
  <si>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</si>
  <si>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</si>
  <si>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</si>
  <si>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</si>
  <si>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</si>
  <si>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</si>
  <si>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</si>
  <si>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</si>
  <si>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</si>
  <si>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</si>
  <si>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</si>
  <si>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</si>
  <si>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</si>
  <si>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</si>
  <si>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</si>
  <si>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</si>
  <si>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</si>
  <si>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</si>
  <si>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</si>
  <si>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</si>
  <si>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</si>
  <si>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</si>
  <si>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</si>
  <si>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</si>
  <si>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</si>
  <si>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</si>
  <si>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</si>
  <si>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</si>
  <si>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</si>
  <si>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</si>
  <si>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</si>
  <si>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</si>
  <si>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</si>
  <si>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</si>
  <si>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</si>
  <si>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</si>
  <si>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</si>
  <si>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</si>
  <si>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</si>
  <si>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</si>
  <si>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</si>
  <si>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</si>
  <si>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</si>
  <si>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</si>
  <si>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</si>
  <si>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</si>
  <si>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</si>
  <si>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</si>
  <si>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</si>
  <si>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</si>
  <si>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</si>
  <si>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</si>
  <si>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</si>
  <si>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</si>
  <si>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</si>
  <si>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</si>
  <si>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</si>
  <si>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</si>
  <si>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</si>
  <si>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</si>
  <si>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</si>
  <si>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</si>
  <si>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</si>
  <si>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</si>
  <si>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</si>
  <si>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</si>
  <si>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</si>
  <si>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</si>
  <si>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</si>
  <si>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</si>
  <si>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</si>
  <si>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</si>
  <si>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</si>
  <si>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</si>
  <si>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</si>
  <si>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</si>
  <si>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</si>
  <si>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</si>
  <si>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</si>
  <si>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</si>
  <si>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</si>
  <si>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</si>
  <si>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</si>
  <si>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</si>
  <si>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</si>
  <si>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</si>
  <si>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</si>
  <si>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</si>
  <si>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</si>
  <si>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</si>
  <si>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</si>
  <si>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</si>
  <si>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</si>
  <si>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</si>
  <si>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</si>
  <si>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</si>
  <si>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</si>
  <si>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</si>
  <si>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</si>
  <si>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</si>
  <si>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</si>
  <si>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</si>
  <si>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</si>
  <si>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</si>
  <si>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</si>
  <si>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</si>
  <si>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</si>
  <si>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</si>
  <si>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</si>
  <si>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</si>
  <si>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</si>
  <si>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</si>
  <si>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</si>
  <si>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</si>
  <si>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</si>
  <si>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</si>
  <si>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</si>
  <si>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</si>
  <si>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</si>
  <si>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</si>
  <si>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</si>
  <si>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</si>
  <si>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</si>
  <si>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</si>
  <si>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</si>
  <si>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</si>
  <si>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</si>
  <si>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</si>
  <si>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</si>
  <si>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</si>
  <si>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</si>
  <si>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</si>
  <si>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</si>
  <si>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</si>
  <si>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</si>
  <si>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</si>
  <si>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</si>
  <si>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</si>
  <si>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</si>
  <si>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</si>
  <si>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</si>
  <si>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</si>
  <si>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</si>
  <si>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</si>
  <si>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</si>
  <si>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</si>
  <si>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</si>
  <si>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</si>
  <si>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</si>
  <si>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</si>
  <si>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</si>
  <si>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</si>
  <si>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</si>
  <si>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</si>
  <si>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</si>
  <si>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</si>
  <si>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</si>
  <si>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</si>
  <si>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</si>
  <si>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</si>
  <si>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</si>
  <si>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</si>
  <si>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</si>
  <si>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</si>
  <si>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</si>
  <si>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</si>
  <si>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</si>
  <si>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</si>
  <si>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</si>
  <si>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</si>
  <si>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</si>
  <si>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</si>
  <si>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</si>
  <si>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</si>
  <si>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</si>
  <si>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</si>
  <si>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</si>
  <si>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</si>
  <si>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</si>
  <si>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</si>
  <si>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</si>
  <si>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</si>
  <si>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</si>
  <si>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</si>
  <si>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</si>
  <si>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</si>
  <si>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</si>
  <si>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</si>
  <si>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</si>
  <si>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</si>
  <si>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</si>
  <si>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</si>
  <si>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</si>
  <si>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</si>
  <si>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</si>
  <si>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</si>
  <si>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</si>
  <si>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</si>
  <si>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</si>
  <si>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</si>
  <si>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</si>
  <si>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</si>
  <si>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</si>
  <si>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</si>
  <si>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</si>
  <si>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</si>
  <si>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</si>
  <si>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</si>
  <si>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</si>
  <si>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</si>
  <si>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</si>
  <si>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</si>
  <si>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</si>
  <si>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</si>
  <si>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</si>
  <si>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</si>
  <si>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</si>
  <si>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</si>
  <si>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</si>
  <si>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</si>
  <si>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</si>
  <si>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</si>
  <si>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</si>
  <si>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</si>
  <si>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</si>
  <si>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</si>
  <si>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</si>
  <si>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</si>
  <si>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</si>
  <si>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</si>
  <si>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</si>
  <si>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</si>
  <si>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</si>
  <si>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</si>
  <si>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</si>
  <si>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</si>
  <si>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</si>
  <si>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</si>
  <si>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</si>
  <si>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</si>
  <si>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</si>
  <si>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</si>
  <si>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</si>
  <si>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</si>
  <si>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</si>
  <si>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</si>
  <si>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</si>
  <si>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</si>
  <si>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</si>
  <si>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</si>
  <si>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</si>
  <si>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</si>
  <si>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</si>
  <si>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</si>
  <si>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</si>
  <si>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</si>
  <si>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</si>
  <si>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</si>
  <si>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</si>
  <si>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</si>
  <si>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</si>
  <si>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</si>
  <si>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</si>
  <si>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</si>
  <si>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</si>
  <si>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</si>
  <si>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</si>
  <si>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</si>
  <si>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</si>
  <si>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</si>
  <si>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</si>
  <si>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</si>
  <si>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</si>
  <si>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</si>
  <si>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</si>
  <si>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</si>
  <si>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</si>
  <si>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</si>
  <si>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</si>
  <si>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</si>
  <si>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</si>
  <si>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</si>
  <si>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</si>
  <si>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</si>
  <si>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</si>
  <si>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</si>
  <si>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</si>
  <si>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</si>
  <si>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</si>
  <si>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</si>
  <si>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</si>
  <si>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</si>
  <si>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</si>
  <si>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</si>
  <si>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</si>
  <si>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</si>
  <si>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</si>
  <si>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</si>
  <si>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</si>
  <si>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</si>
  <si>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</si>
  <si>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</si>
  <si>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</si>
  <si>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</si>
  <si>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</si>
  <si>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</si>
  <si>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</si>
  <si>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</si>
  <si>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</si>
  <si>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</si>
  <si>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</si>
  <si>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</si>
  <si>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</si>
  <si>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</si>
  <si>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</si>
  <si>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</si>
  <si>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</si>
  <si>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</si>
  <si>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</si>
  <si>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</si>
  <si>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</si>
  <si>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</si>
  <si>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</si>
  <si>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</si>
  <si>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</si>
  <si>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</si>
  <si>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</si>
  <si>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</si>
  <si>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</si>
  <si>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</si>
  <si>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</si>
  <si>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</si>
  <si>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</si>
  <si>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</si>
  <si>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</si>
  <si>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</si>
  <si>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</si>
  <si>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</si>
  <si>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</si>
  <si>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</si>
  <si>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</si>
  <si>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</si>
  <si>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</si>
  <si>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</si>
  <si>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</si>
  <si>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Middleton School District</t>
  </si>
  <si>
    <t>07/17/2014</t>
  </si>
  <si>
    <t>08/15/2034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</si>
</sst>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90" activePane="bottomRight" state="frozen"/>
      <selection pane="topRight" activeCell="F1" sqref="F1"/>
      <selection pane="bottomLeft" activeCell="A4" sqref="A4"/>
      <selection pane="bottomRight" activeCell="G648" sqref="G6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353</v>
      </c>
      <c r="C2" s="21">
        <v>353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1445339.9</v>
      </c>
      <c r="G9" s="18"/>
      <c r="H9" s="18"/>
      <c r="I9" s="18">
        <v>198254.84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>
        <v>1688.04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1078.9000000000001</v>
      </c>
      <c r="G13" s="18">
        <v>3554.91</v>
      </c>
      <c r="H13" s="18">
        <v>4247.75</v>
      </c>
      <c r="I13" s="18"/>
      <c r="J13" s="67">
        <f>SUM(I442)</f>
        <v>240270.06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1446418.7999999998</v>
      </c>
      <c r="G19" s="41">
        <f>SUM(G9:G18)</f>
        <v>3554.91</v>
      </c>
      <c r="H19" s="41">
        <f>SUM(H9:H18)</f>
        <v>4247.75</v>
      </c>
      <c r="I19" s="41">
        <f>SUM(I9:I18)</f>
        <v>199942.88</v>
      </c>
      <c r="J19" s="41">
        <f>SUM(J9:J18)</f>
        <v>240270.06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91284.61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830.7</v>
      </c>
      <c r="H23" s="18">
        <v>3841.46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21894.01</v>
      </c>
      <c r="G28" s="18">
        <v>1265.53</v>
      </c>
      <c r="H28" s="18">
        <v>406.29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797.14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113178.62</v>
      </c>
      <c r="G32" s="41">
        <f>SUM(G22:G31)</f>
        <v>2893.37</v>
      </c>
      <c r="H32" s="41">
        <f>SUM(H22:H31)</f>
        <v>4247.75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661.54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27000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199942.88</v>
      </c>
      <c r="J48" s="13">
        <f>SUM(I459)</f>
        <v>240270.06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106956.03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1199284.1499999999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1333240.18</v>
      </c>
      <c r="G51" s="41">
        <f>SUM(G35:G50)</f>
        <v>661.54</v>
      </c>
      <c r="H51" s="41">
        <f>SUM(H35:H50)</f>
        <v>0</v>
      </c>
      <c r="I51" s="41">
        <f>SUM(I35:I50)</f>
        <v>199942.88</v>
      </c>
      <c r="J51" s="41">
        <f>SUM(J35:J50)</f>
        <v>240270.06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1446418.7999999998</v>
      </c>
      <c r="G52" s="41">
        <f>G51+G32</f>
        <v>3554.91</v>
      </c>
      <c r="H52" s="41">
        <f>H51+H32</f>
        <v>4247.75</v>
      </c>
      <c r="I52" s="41">
        <f>I51+I32</f>
        <v>199942.88</v>
      </c>
      <c r="J52" s="41">
        <f>J51+J32</f>
        <v>240270.06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3452509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3452509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700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700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>
        <v>395.81</v>
      </c>
      <c r="J96" s="18">
        <v>478.78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23313.94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6497.32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6497.32</v>
      </c>
      <c r="G111" s="41">
        <f>SUM(G96:G110)</f>
        <v>23313.94</v>
      </c>
      <c r="H111" s="41">
        <f>SUM(H96:H110)</f>
        <v>0</v>
      </c>
      <c r="I111" s="41">
        <f>SUM(I96:I110)</f>
        <v>395.81</v>
      </c>
      <c r="J111" s="41">
        <f>SUM(J96:J110)</f>
        <v>478.78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3459706.32</v>
      </c>
      <c r="G112" s="41">
        <f>G60+G111</f>
        <v>23313.94</v>
      </c>
      <c r="H112" s="41">
        <f>H60+H79+H94+H111</f>
        <v>0</v>
      </c>
      <c r="I112" s="41">
        <f>I60+I111</f>
        <v>395.81</v>
      </c>
      <c r="J112" s="41">
        <f>J60+J111</f>
        <v>478.78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1250293.79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361965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1612258.79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6194.08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6194.08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1618452.87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9828.65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24789.41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27492.400000000001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1692.16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27492.400000000001</v>
      </c>
      <c r="H162" s="41">
        <f>SUM(H150:H161)</f>
        <v>36310.22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27492.400000000001</v>
      </c>
      <c r="H169" s="41">
        <f>H147+H162+SUM(H163:H168)</f>
        <v>36310.22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41000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41000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41000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5078159.1899999995</v>
      </c>
      <c r="G193" s="47">
        <f>G112+G140+G169+G192</f>
        <v>50806.34</v>
      </c>
      <c r="H193" s="47">
        <f>H112+H140+H169+H192</f>
        <v>36310.22</v>
      </c>
      <c r="I193" s="47">
        <f>I112+I140+I169+I192</f>
        <v>395.81</v>
      </c>
      <c r="J193" s="47">
        <f>J112+J140+J192</f>
        <v>41478.78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404139.68</v>
      </c>
      <c r="G197" s="18">
        <v>197302.98</v>
      </c>
      <c r="H197" s="18"/>
      <c r="I197" s="18">
        <v>86760.639999999999</v>
      </c>
      <c r="J197" s="18">
        <v>4327.45</v>
      </c>
      <c r="K197" s="18"/>
      <c r="L197" s="19">
        <f>SUM(F197:K197)</f>
        <v>692530.75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160049.71</v>
      </c>
      <c r="G198" s="18">
        <v>68560.03</v>
      </c>
      <c r="H198" s="18">
        <v>327893.15999999997</v>
      </c>
      <c r="I198" s="18">
        <v>15687.79</v>
      </c>
      <c r="J198" s="18"/>
      <c r="K198" s="18"/>
      <c r="L198" s="19">
        <f>SUM(F198:K198)</f>
        <v>572190.68999999994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39750</v>
      </c>
      <c r="G202" s="18">
        <v>9442.35</v>
      </c>
      <c r="H202" s="18">
        <v>51852.32</v>
      </c>
      <c r="I202" s="18">
        <v>3684.9</v>
      </c>
      <c r="J202" s="18">
        <v>2576.9699999999998</v>
      </c>
      <c r="K202" s="18"/>
      <c r="L202" s="19">
        <f t="shared" ref="L202:L208" si="0">SUM(F202:K202)</f>
        <v>107306.54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20375</v>
      </c>
      <c r="G203" s="18">
        <v>2371.9899999999998</v>
      </c>
      <c r="H203" s="18">
        <v>314</v>
      </c>
      <c r="I203" s="18">
        <v>21938.86</v>
      </c>
      <c r="J203" s="18">
        <v>953.91</v>
      </c>
      <c r="K203" s="18"/>
      <c r="L203" s="19">
        <f t="shared" si="0"/>
        <v>45953.760000000002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8350</v>
      </c>
      <c r="G204" s="18">
        <v>638.82000000000005</v>
      </c>
      <c r="H204" s="18">
        <v>189920.57</v>
      </c>
      <c r="I204" s="18">
        <v>560.69000000000005</v>
      </c>
      <c r="J204" s="18"/>
      <c r="K204" s="18">
        <v>4610.33</v>
      </c>
      <c r="L204" s="19">
        <f t="shared" si="0"/>
        <v>204080.41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124814.74</v>
      </c>
      <c r="G205" s="18">
        <v>75653.240000000005</v>
      </c>
      <c r="H205" s="18">
        <v>19856.89</v>
      </c>
      <c r="I205" s="18">
        <v>424.46</v>
      </c>
      <c r="J205" s="18"/>
      <c r="K205" s="18"/>
      <c r="L205" s="19">
        <f t="shared" si="0"/>
        <v>220749.33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2671.67</v>
      </c>
      <c r="L206" s="19">
        <f t="shared" si="0"/>
        <v>2671.67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54819.49</v>
      </c>
      <c r="G207" s="18">
        <v>43733.99</v>
      </c>
      <c r="H207" s="18">
        <v>16101.86</v>
      </c>
      <c r="I207" s="18">
        <v>70950.36</v>
      </c>
      <c r="J207" s="18">
        <v>14522.19</v>
      </c>
      <c r="K207" s="18"/>
      <c r="L207" s="19">
        <f t="shared" si="0"/>
        <v>200127.89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80133.899999999994</v>
      </c>
      <c r="G208" s="18">
        <v>6875.08</v>
      </c>
      <c r="H208" s="18">
        <v>62843.61</v>
      </c>
      <c r="I208" s="18">
        <v>15925.9</v>
      </c>
      <c r="J208" s="18">
        <v>6300</v>
      </c>
      <c r="K208" s="18">
        <v>668</v>
      </c>
      <c r="L208" s="19">
        <f t="shared" si="0"/>
        <v>172746.49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29938.71</v>
      </c>
      <c r="I209" s="18">
        <v>22650.22</v>
      </c>
      <c r="J209" s="18">
        <v>31321.56</v>
      </c>
      <c r="K209" s="18"/>
      <c r="L209" s="19">
        <f>SUM(F209:K209)</f>
        <v>83910.49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892432.52</v>
      </c>
      <c r="G211" s="41">
        <f t="shared" si="1"/>
        <v>404578.48</v>
      </c>
      <c r="H211" s="41">
        <f t="shared" si="1"/>
        <v>698721.12</v>
      </c>
      <c r="I211" s="41">
        <f t="shared" si="1"/>
        <v>238583.82</v>
      </c>
      <c r="J211" s="41">
        <f t="shared" si="1"/>
        <v>60002.080000000002</v>
      </c>
      <c r="K211" s="41">
        <f t="shared" si="1"/>
        <v>7950</v>
      </c>
      <c r="L211" s="41">
        <f t="shared" si="1"/>
        <v>2302268.0200000005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437517</v>
      </c>
      <c r="I215" s="18"/>
      <c r="J215" s="18"/>
      <c r="K215" s="18"/>
      <c r="L215" s="19">
        <f>SUM(F215:K215)</f>
        <v>437517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33312.129999999997</v>
      </c>
      <c r="I216" s="18"/>
      <c r="J216" s="18"/>
      <c r="K216" s="18"/>
      <c r="L216" s="19">
        <f>SUM(F216:K216)</f>
        <v>33312.129999999997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470829.13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470829.13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892710.72</v>
      </c>
      <c r="I233" s="18"/>
      <c r="J233" s="18"/>
      <c r="K233" s="18"/>
      <c r="L233" s="19">
        <f>SUM(F233:K233)</f>
        <v>892710.72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49414.96</v>
      </c>
      <c r="I234" s="18"/>
      <c r="J234" s="18"/>
      <c r="K234" s="18"/>
      <c r="L234" s="19">
        <f>SUM(F234:K234)</f>
        <v>49414.96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942125.67999999993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942125.67999999993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892432.52</v>
      </c>
      <c r="G257" s="41">
        <f t="shared" si="8"/>
        <v>404578.48</v>
      </c>
      <c r="H257" s="41">
        <f t="shared" si="8"/>
        <v>2111675.9299999997</v>
      </c>
      <c r="I257" s="41">
        <f t="shared" si="8"/>
        <v>238583.82</v>
      </c>
      <c r="J257" s="41">
        <f t="shared" si="8"/>
        <v>60002.080000000002</v>
      </c>
      <c r="K257" s="41">
        <f t="shared" si="8"/>
        <v>7950</v>
      </c>
      <c r="L257" s="41">
        <f t="shared" si="8"/>
        <v>3715222.83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305000</v>
      </c>
      <c r="L260" s="19">
        <f>SUM(F260:K260)</f>
        <v>305000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248707.5</v>
      </c>
      <c r="L261" s="19">
        <f>SUM(F261:K261)</f>
        <v>248707.5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41000</v>
      </c>
      <c r="L266" s="19">
        <f t="shared" si="9"/>
        <v>41000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594707.5</v>
      </c>
      <c r="L270" s="41">
        <f t="shared" si="9"/>
        <v>594707.5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892432.52</v>
      </c>
      <c r="G271" s="42">
        <f t="shared" si="11"/>
        <v>404578.48</v>
      </c>
      <c r="H271" s="42">
        <f t="shared" si="11"/>
        <v>2111675.9299999997</v>
      </c>
      <c r="I271" s="42">
        <f t="shared" si="11"/>
        <v>238583.82</v>
      </c>
      <c r="J271" s="42">
        <f t="shared" si="11"/>
        <v>60002.080000000002</v>
      </c>
      <c r="K271" s="42">
        <f t="shared" si="11"/>
        <v>602657.5</v>
      </c>
      <c r="L271" s="42">
        <f t="shared" si="11"/>
        <v>4309930.33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1125</v>
      </c>
      <c r="G276" s="18">
        <v>266.48</v>
      </c>
      <c r="H276" s="18"/>
      <c r="I276" s="18">
        <v>6410.05</v>
      </c>
      <c r="J276" s="18"/>
      <c r="K276" s="18"/>
      <c r="L276" s="19">
        <f>SUM(F276:K276)</f>
        <v>7801.5300000000007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1083.4000000000001</v>
      </c>
      <c r="J277" s="18">
        <v>608.76</v>
      </c>
      <c r="K277" s="18"/>
      <c r="L277" s="19">
        <f>SUM(F277:K277)</f>
        <v>1692.16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3625</v>
      </c>
      <c r="G282" s="18">
        <v>590.33000000000004</v>
      </c>
      <c r="H282" s="18">
        <v>19950</v>
      </c>
      <c r="I282" s="18">
        <v>2651.2</v>
      </c>
      <c r="J282" s="18"/>
      <c r="K282" s="18"/>
      <c r="L282" s="19">
        <f t="shared" si="12"/>
        <v>26816.530000000002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4750</v>
      </c>
      <c r="G290" s="42">
        <f t="shared" si="13"/>
        <v>856.81000000000006</v>
      </c>
      <c r="H290" s="42">
        <f t="shared" si="13"/>
        <v>19950</v>
      </c>
      <c r="I290" s="42">
        <f t="shared" si="13"/>
        <v>10144.650000000001</v>
      </c>
      <c r="J290" s="42">
        <f t="shared" si="13"/>
        <v>608.76</v>
      </c>
      <c r="K290" s="42">
        <f t="shared" si="13"/>
        <v>0</v>
      </c>
      <c r="L290" s="41">
        <f t="shared" si="13"/>
        <v>36310.22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4750</v>
      </c>
      <c r="G338" s="41">
        <f t="shared" si="20"/>
        <v>856.81000000000006</v>
      </c>
      <c r="H338" s="41">
        <f t="shared" si="20"/>
        <v>19950</v>
      </c>
      <c r="I338" s="41">
        <f t="shared" si="20"/>
        <v>10144.650000000001</v>
      </c>
      <c r="J338" s="41">
        <f t="shared" si="20"/>
        <v>608.76</v>
      </c>
      <c r="K338" s="41">
        <f t="shared" si="20"/>
        <v>0</v>
      </c>
      <c r="L338" s="41">
        <f t="shared" si="20"/>
        <v>36310.22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4750</v>
      </c>
      <c r="G352" s="41">
        <f>G338</f>
        <v>856.81000000000006</v>
      </c>
      <c r="H352" s="41">
        <f>H338</f>
        <v>19950</v>
      </c>
      <c r="I352" s="41">
        <f>I338</f>
        <v>10144.650000000001</v>
      </c>
      <c r="J352" s="41">
        <f>J338</f>
        <v>608.76</v>
      </c>
      <c r="K352" s="47">
        <f>K338+K351</f>
        <v>0</v>
      </c>
      <c r="L352" s="41">
        <f>L338+L351</f>
        <v>36310.22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18350.849999999999</v>
      </c>
      <c r="G358" s="18">
        <v>1403.87</v>
      </c>
      <c r="H358" s="18">
        <v>1049.8</v>
      </c>
      <c r="I358" s="18">
        <v>29340.28</v>
      </c>
      <c r="J358" s="18"/>
      <c r="K358" s="18"/>
      <c r="L358" s="13">
        <f>SUM(F358:K358)</f>
        <v>50144.799999999996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18350.849999999999</v>
      </c>
      <c r="G362" s="47">
        <f t="shared" si="22"/>
        <v>1403.87</v>
      </c>
      <c r="H362" s="47">
        <f t="shared" si="22"/>
        <v>1049.8</v>
      </c>
      <c r="I362" s="47">
        <f t="shared" si="22"/>
        <v>29340.28</v>
      </c>
      <c r="J362" s="47">
        <f t="shared" si="22"/>
        <v>0</v>
      </c>
      <c r="K362" s="47">
        <f t="shared" si="22"/>
        <v>0</v>
      </c>
      <c r="L362" s="47">
        <f t="shared" si="22"/>
        <v>50144.799999999996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26584.42</v>
      </c>
      <c r="G367" s="18"/>
      <c r="H367" s="18"/>
      <c r="I367" s="56">
        <f>SUM(F367:H367)</f>
        <v>26584.42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2755.86</v>
      </c>
      <c r="G368" s="63"/>
      <c r="H368" s="63"/>
      <c r="I368" s="56">
        <f>SUM(F368:H368)</f>
        <v>2755.86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29340.28</v>
      </c>
      <c r="G369" s="47">
        <f>SUM(G367:G368)</f>
        <v>0</v>
      </c>
      <c r="H369" s="47">
        <f>SUM(H367:H368)</f>
        <v>0</v>
      </c>
      <c r="I369" s="47">
        <f>SUM(I367:I368)</f>
        <v>29340.28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9240</v>
      </c>
      <c r="I378" s="18"/>
      <c r="J378" s="18">
        <v>194400.7</v>
      </c>
      <c r="K378" s="18"/>
      <c r="L378" s="13">
        <f t="shared" si="23"/>
        <v>203640.7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9240</v>
      </c>
      <c r="I382" s="41">
        <f t="shared" si="24"/>
        <v>0</v>
      </c>
      <c r="J382" s="47">
        <f t="shared" si="24"/>
        <v>194400.7</v>
      </c>
      <c r="K382" s="47">
        <f t="shared" si="24"/>
        <v>0</v>
      </c>
      <c r="L382" s="47">
        <f t="shared" si="24"/>
        <v>203640.7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15000</v>
      </c>
      <c r="H390" s="18">
        <v>74.47</v>
      </c>
      <c r="I390" s="18"/>
      <c r="J390" s="24" t="s">
        <v>288</v>
      </c>
      <c r="K390" s="24" t="s">
        <v>288</v>
      </c>
      <c r="L390" s="56">
        <f t="shared" si="25"/>
        <v>15074.47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74.47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15074.47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</v>
      </c>
      <c r="H396" s="18">
        <v>5.98</v>
      </c>
      <c r="I396" s="18"/>
      <c r="J396" s="24" t="s">
        <v>288</v>
      </c>
      <c r="K396" s="24" t="s">
        <v>288</v>
      </c>
      <c r="L396" s="56">
        <f t="shared" si="26"/>
        <v>5005.9799999999996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</v>
      </c>
      <c r="H397" s="18">
        <v>299.25</v>
      </c>
      <c r="I397" s="18"/>
      <c r="J397" s="24" t="s">
        <v>288</v>
      </c>
      <c r="K397" s="24" t="s">
        <v>288</v>
      </c>
      <c r="L397" s="56">
        <f t="shared" si="26"/>
        <v>1299.25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20000</v>
      </c>
      <c r="H399" s="18">
        <v>99.08</v>
      </c>
      <c r="I399" s="18"/>
      <c r="J399" s="24" t="s">
        <v>288</v>
      </c>
      <c r="K399" s="24" t="s">
        <v>288</v>
      </c>
      <c r="L399" s="56">
        <f t="shared" si="26"/>
        <v>20099.080000000002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26000</v>
      </c>
      <c r="H401" s="47">
        <f>SUM(H395:H400)</f>
        <v>404.31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26404.31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41000</v>
      </c>
      <c r="H408" s="47">
        <f>H393+H401+H407</f>
        <v>478.78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41478.78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240270.06</v>
      </c>
      <c r="G442" s="18"/>
      <c r="H442" s="18"/>
      <c r="I442" s="56">
        <f t="shared" si="33"/>
        <v>240270.06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240270.06</v>
      </c>
      <c r="G446" s="13">
        <f>SUM(G439:G445)</f>
        <v>0</v>
      </c>
      <c r="H446" s="13">
        <f>SUM(H439:H445)</f>
        <v>0</v>
      </c>
      <c r="I446" s="13">
        <f>SUM(I439:I445)</f>
        <v>240270.06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240270.06</v>
      </c>
      <c r="G459" s="18"/>
      <c r="H459" s="18"/>
      <c r="I459" s="56">
        <f t="shared" si="34"/>
        <v>240270.06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240270.06</v>
      </c>
      <c r="G460" s="83">
        <f>SUM(G454:G459)</f>
        <v>0</v>
      </c>
      <c r="H460" s="83">
        <f>SUM(H454:H459)</f>
        <v>0</v>
      </c>
      <c r="I460" s="83">
        <f>SUM(I454:I459)</f>
        <v>240270.06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240270.06</v>
      </c>
      <c r="G461" s="42">
        <f>G452+G460</f>
        <v>0</v>
      </c>
      <c r="H461" s="42">
        <f>H452+H460</f>
        <v>0</v>
      </c>
      <c r="I461" s="42">
        <f>I452+I460</f>
        <v>240270.06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565011.31999999995</v>
      </c>
      <c r="G465" s="18"/>
      <c r="H465" s="18"/>
      <c r="I465" s="18">
        <v>403187.77</v>
      </c>
      <c r="J465" s="18">
        <v>198791.28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5078159.1900000004</v>
      </c>
      <c r="G468" s="18">
        <v>50806.34</v>
      </c>
      <c r="H468" s="18">
        <v>36310.22</v>
      </c>
      <c r="I468" s="18">
        <v>395.81</v>
      </c>
      <c r="J468" s="18">
        <v>41478.78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5078159.1900000004</v>
      </c>
      <c r="G470" s="53">
        <f>SUM(G468:G469)</f>
        <v>50806.34</v>
      </c>
      <c r="H470" s="53">
        <f>SUM(H468:H469)</f>
        <v>36310.22</v>
      </c>
      <c r="I470" s="53">
        <f>SUM(I468:I469)</f>
        <v>395.81</v>
      </c>
      <c r="J470" s="53">
        <f>SUM(J468:J469)</f>
        <v>41478.78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4309930.33</v>
      </c>
      <c r="G472" s="18">
        <v>50144.800000000003</v>
      </c>
      <c r="H472" s="18">
        <v>36310.22</v>
      </c>
      <c r="I472" s="18">
        <v>203640.7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4309930.33</v>
      </c>
      <c r="G474" s="53">
        <f>SUM(G472:G473)</f>
        <v>50144.800000000003</v>
      </c>
      <c r="H474" s="53">
        <f>SUM(H472:H473)</f>
        <v>36310.22</v>
      </c>
      <c r="I474" s="53">
        <f>SUM(I472:I473)</f>
        <v>203640.7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1333240.1800000006</v>
      </c>
      <c r="G476" s="53">
        <f>(G465+G470)- G474</f>
        <v>661.5399999999936</v>
      </c>
      <c r="H476" s="53">
        <f>(H465+H470)- H474</f>
        <v>0</v>
      </c>
      <c r="I476" s="53">
        <f>(I465+I470)- I474</f>
        <v>199942.88</v>
      </c>
      <c r="J476" s="53">
        <f>(J465+J470)- J474</f>
        <v>240270.06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6037500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3.2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5735000</v>
      </c>
      <c r="G495" s="18"/>
      <c r="H495" s="18"/>
      <c r="I495" s="18"/>
      <c r="J495" s="18"/>
      <c r="K495" s="53">
        <f>SUM(F495:J495)</f>
        <v>5735000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305000</v>
      </c>
      <c r="G497" s="18"/>
      <c r="H497" s="18"/>
      <c r="I497" s="18"/>
      <c r="J497" s="18"/>
      <c r="K497" s="53">
        <f t="shared" si="35"/>
        <v>305000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5430000</v>
      </c>
      <c r="G498" s="204"/>
      <c r="H498" s="204"/>
      <c r="I498" s="204"/>
      <c r="J498" s="204"/>
      <c r="K498" s="205">
        <f t="shared" si="35"/>
        <v>5430000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2039190</v>
      </c>
      <c r="G499" s="18"/>
      <c r="H499" s="18"/>
      <c r="I499" s="18"/>
      <c r="J499" s="18"/>
      <c r="K499" s="53">
        <f t="shared" si="35"/>
        <v>2039190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7469190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7469190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102431.81</v>
      </c>
      <c r="G521" s="18">
        <v>43878.42</v>
      </c>
      <c r="H521" s="18">
        <v>262796.96000000002</v>
      </c>
      <c r="I521" s="18">
        <v>10733.56</v>
      </c>
      <c r="J521" s="18">
        <v>608.76</v>
      </c>
      <c r="K521" s="18"/>
      <c r="L521" s="88">
        <f>SUM(F521:K521)</f>
        <v>420449.51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33312.129999999997</v>
      </c>
      <c r="I522" s="18">
        <v>49414.96</v>
      </c>
      <c r="J522" s="18"/>
      <c r="K522" s="18"/>
      <c r="L522" s="88">
        <f>SUM(F522:K522)</f>
        <v>82727.09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102431.81</v>
      </c>
      <c r="G524" s="108">
        <f t="shared" ref="G524:L524" si="36">SUM(G521:G523)</f>
        <v>43878.42</v>
      </c>
      <c r="H524" s="108">
        <f t="shared" si="36"/>
        <v>296109.09000000003</v>
      </c>
      <c r="I524" s="108">
        <f t="shared" si="36"/>
        <v>60148.52</v>
      </c>
      <c r="J524" s="108">
        <f t="shared" si="36"/>
        <v>608.76</v>
      </c>
      <c r="K524" s="108">
        <f t="shared" si="36"/>
        <v>0</v>
      </c>
      <c r="L524" s="89">
        <f t="shared" si="36"/>
        <v>503176.6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48014.91</v>
      </c>
      <c r="G526" s="18">
        <v>20568.009999999998</v>
      </c>
      <c r="H526" s="18">
        <v>123186.08</v>
      </c>
      <c r="I526" s="18">
        <v>5031.3599999999997</v>
      </c>
      <c r="J526" s="18"/>
      <c r="K526" s="18"/>
      <c r="L526" s="88">
        <f>SUM(F526:K526)</f>
        <v>196800.36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48014.91</v>
      </c>
      <c r="G529" s="89">
        <f t="shared" ref="G529:L529" si="37">SUM(G526:G528)</f>
        <v>20568.009999999998</v>
      </c>
      <c r="H529" s="89">
        <f t="shared" si="37"/>
        <v>123186.08</v>
      </c>
      <c r="I529" s="89">
        <f t="shared" si="37"/>
        <v>5031.3599999999997</v>
      </c>
      <c r="J529" s="89">
        <f t="shared" si="37"/>
        <v>0</v>
      </c>
      <c r="K529" s="89">
        <f t="shared" si="37"/>
        <v>0</v>
      </c>
      <c r="L529" s="89">
        <f t="shared" si="37"/>
        <v>196800.36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9602.98</v>
      </c>
      <c r="G531" s="18">
        <v>4113.6000000000004</v>
      </c>
      <c r="H531" s="18">
        <v>24637.22</v>
      </c>
      <c r="I531" s="18">
        <v>1006.27</v>
      </c>
      <c r="J531" s="18"/>
      <c r="K531" s="18"/>
      <c r="L531" s="88">
        <f>SUM(F531:K531)</f>
        <v>39360.07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9602.98</v>
      </c>
      <c r="G534" s="89">
        <f t="shared" ref="G534:L534" si="38">SUM(G531:G533)</f>
        <v>4113.6000000000004</v>
      </c>
      <c r="H534" s="89">
        <f t="shared" si="38"/>
        <v>24637.22</v>
      </c>
      <c r="I534" s="89">
        <f t="shared" si="38"/>
        <v>1006.27</v>
      </c>
      <c r="J534" s="89">
        <f t="shared" si="38"/>
        <v>0</v>
      </c>
      <c r="K534" s="89">
        <f t="shared" si="38"/>
        <v>0</v>
      </c>
      <c r="L534" s="89">
        <f t="shared" si="38"/>
        <v>39360.07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23534.17</v>
      </c>
      <c r="G541" s="18">
        <v>1800.36</v>
      </c>
      <c r="H541" s="18"/>
      <c r="I541" s="18"/>
      <c r="J541" s="18"/>
      <c r="K541" s="18"/>
      <c r="L541" s="88">
        <f>SUM(F541:K541)</f>
        <v>25334.53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23534.17</v>
      </c>
      <c r="G544" s="193">
        <f t="shared" ref="G544:L544" si="40">SUM(G541:G543)</f>
        <v>1800.36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25334.53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183583.87</v>
      </c>
      <c r="G545" s="89">
        <f t="shared" ref="G545:L545" si="41">G524+G529+G534+G539+G544</f>
        <v>70360.39</v>
      </c>
      <c r="H545" s="89">
        <f t="shared" si="41"/>
        <v>443932.39</v>
      </c>
      <c r="I545" s="89">
        <f t="shared" si="41"/>
        <v>66186.149999999994</v>
      </c>
      <c r="J545" s="89">
        <f t="shared" si="41"/>
        <v>608.76</v>
      </c>
      <c r="K545" s="89">
        <f t="shared" si="41"/>
        <v>0</v>
      </c>
      <c r="L545" s="89">
        <f t="shared" si="41"/>
        <v>764671.55999999994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420449.51</v>
      </c>
      <c r="G549" s="87">
        <f>L526</f>
        <v>196800.36</v>
      </c>
      <c r="H549" s="87">
        <f>L531</f>
        <v>39360.07</v>
      </c>
      <c r="I549" s="87">
        <f>L536</f>
        <v>0</v>
      </c>
      <c r="J549" s="87">
        <f>L541</f>
        <v>25334.53</v>
      </c>
      <c r="K549" s="87">
        <f>SUM(F549:J549)</f>
        <v>681944.47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82727.09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82727.09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503176.6</v>
      </c>
      <c r="G552" s="89">
        <f t="shared" si="42"/>
        <v>196800.36</v>
      </c>
      <c r="H552" s="89">
        <f t="shared" si="42"/>
        <v>39360.07</v>
      </c>
      <c r="I552" s="89">
        <f t="shared" si="42"/>
        <v>0</v>
      </c>
      <c r="J552" s="89">
        <f t="shared" si="42"/>
        <v>25334.53</v>
      </c>
      <c r="K552" s="89">
        <f t="shared" si="42"/>
        <v>764671.55999999994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437517</v>
      </c>
      <c r="H575" s="18">
        <v>892710.72</v>
      </c>
      <c r="I575" s="87">
        <f>SUM(F575:H575)</f>
        <v>1330227.72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>
        <v>33312.129999999997</v>
      </c>
      <c r="H579" s="18">
        <v>49414.96</v>
      </c>
      <c r="I579" s="87">
        <f t="shared" si="47"/>
        <v>82727.09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224358.28</v>
      </c>
      <c r="G582" s="18"/>
      <c r="H582" s="18"/>
      <c r="I582" s="87">
        <f t="shared" si="47"/>
        <v>224358.28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126556.13</v>
      </c>
      <c r="I591" s="18"/>
      <c r="J591" s="18"/>
      <c r="K591" s="104">
        <f t="shared" ref="K591:K597" si="48">SUM(H591:J591)</f>
        <v>126556.13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25334.53</v>
      </c>
      <c r="I592" s="18"/>
      <c r="J592" s="18"/>
      <c r="K592" s="104">
        <f t="shared" si="48"/>
        <v>25334.53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20855.830000000002</v>
      </c>
      <c r="I597" s="18"/>
      <c r="J597" s="18"/>
      <c r="K597" s="104">
        <f t="shared" si="48"/>
        <v>20855.830000000002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172746.49</v>
      </c>
      <c r="I598" s="108">
        <f>SUM(I591:I597)</f>
        <v>0</v>
      </c>
      <c r="J598" s="108">
        <f>SUM(J591:J597)</f>
        <v>0</v>
      </c>
      <c r="K598" s="108">
        <f>SUM(K591:K597)</f>
        <v>172746.49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60610.84</v>
      </c>
      <c r="I604" s="18"/>
      <c r="J604" s="18"/>
      <c r="K604" s="104">
        <f>SUM(H604:J604)</f>
        <v>60610.84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60610.84</v>
      </c>
      <c r="I605" s="108">
        <f>SUM(I602:I604)</f>
        <v>0</v>
      </c>
      <c r="J605" s="108">
        <f>SUM(J602:J604)</f>
        <v>0</v>
      </c>
      <c r="K605" s="108">
        <f>SUM(K602:K604)</f>
        <v>60610.84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1446418.7999999998</v>
      </c>
      <c r="H617" s="109">
        <f>SUM(F52)</f>
        <v>1446418.7999999998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3554.91</v>
      </c>
      <c r="H618" s="109">
        <f>SUM(G52)</f>
        <v>3554.91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4247.75</v>
      </c>
      <c r="H619" s="109">
        <f>SUM(H52)</f>
        <v>4247.75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199942.88</v>
      </c>
      <c r="H620" s="109">
        <f>SUM(I52)</f>
        <v>199942.88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240270.06</v>
      </c>
      <c r="H621" s="109">
        <f>SUM(J52)</f>
        <v>240270.06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1333240.18</v>
      </c>
      <c r="H622" s="109">
        <f>F476</f>
        <v>1333240.1800000006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661.54</v>
      </c>
      <c r="H623" s="109">
        <f>G476</f>
        <v>661.5399999999936</v>
      </c>
      <c r="I623" s="121" t="s">
        <v>102</v>
      </c>
      <c r="J623" s="109">
        <f t="shared" si="50"/>
        <v>6.3664629124104977E-12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199942.88</v>
      </c>
      <c r="H625" s="109">
        <f>I476</f>
        <v>199942.88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240270.06</v>
      </c>
      <c r="H626" s="109">
        <f>J476</f>
        <v>240270.06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5078159.1899999995</v>
      </c>
      <c r="H627" s="104">
        <f>SUM(F468)</f>
        <v>5078159.1900000004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50806.34</v>
      </c>
      <c r="H628" s="104">
        <f>SUM(G468)</f>
        <v>50806.34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36310.22</v>
      </c>
      <c r="H629" s="104">
        <f>SUM(H468)</f>
        <v>36310.22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395.81</v>
      </c>
      <c r="H630" s="104">
        <f>SUM(I468)</f>
        <v>395.81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41478.78</v>
      </c>
      <c r="H631" s="104">
        <f>SUM(J468)</f>
        <v>41478.78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4309930.33</v>
      </c>
      <c r="H632" s="104">
        <f>SUM(F472)</f>
        <v>4309930.33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36310.22</v>
      </c>
      <c r="H633" s="104">
        <f>SUM(H472)</f>
        <v>36310.22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29340.28</v>
      </c>
      <c r="H634" s="104">
        <f>I369</f>
        <v>29340.28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50144.799999999996</v>
      </c>
      <c r="H635" s="104">
        <f>SUM(G472)</f>
        <v>50144.800000000003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203640.7</v>
      </c>
      <c r="H636" s="104">
        <f>SUM(I472)</f>
        <v>203640.7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41478.78</v>
      </c>
      <c r="H637" s="164">
        <f>SUM(J468)</f>
        <v>41478.78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240270.06</v>
      </c>
      <c r="H639" s="104">
        <f>SUM(F461)</f>
        <v>240270.06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240270.06</v>
      </c>
      <c r="H642" s="104">
        <f>SUM(I461)</f>
        <v>240270.06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478.78</v>
      </c>
      <c r="H644" s="104">
        <f>H408</f>
        <v>478.78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41000</v>
      </c>
      <c r="H645" s="104">
        <f>G408</f>
        <v>41000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41478.78</v>
      </c>
      <c r="H646" s="104">
        <f>L408</f>
        <v>41478.78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172746.49</v>
      </c>
      <c r="H647" s="104">
        <f>L208+L226+L244</f>
        <v>172746.49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60610.84</v>
      </c>
      <c r="H648" s="104">
        <f>(J257+J338)-(J255+J336)</f>
        <v>60610.840000000004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172746.49</v>
      </c>
      <c r="H649" s="104">
        <f>H598</f>
        <v>172746.49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41000</v>
      </c>
      <c r="H655" s="104">
        <f>K266+K347</f>
        <v>41000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2388723.0400000005</v>
      </c>
      <c r="G660" s="19">
        <f>(L229+L309+L359)</f>
        <v>470829.13</v>
      </c>
      <c r="H660" s="19">
        <f>(L247+L328+L360)</f>
        <v>942125.67999999993</v>
      </c>
      <c r="I660" s="19">
        <f>SUM(F660:H660)</f>
        <v>3801677.8500000006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23313.94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23313.94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166446.49</v>
      </c>
      <c r="G662" s="19">
        <f>(L226+L306)-(J226+J306)</f>
        <v>0</v>
      </c>
      <c r="H662" s="19">
        <f>(L244+L325)-(J244+J325)</f>
        <v>0</v>
      </c>
      <c r="I662" s="19">
        <f>SUM(F662:H662)</f>
        <v>166446.49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284969.12</v>
      </c>
      <c r="G663" s="199">
        <f>SUM(G575:G587)+SUM(I602:I604)+L612</f>
        <v>470829.13</v>
      </c>
      <c r="H663" s="199">
        <f>SUM(H575:H587)+SUM(J602:J604)+L613</f>
        <v>942125.67999999993</v>
      </c>
      <c r="I663" s="19">
        <f>SUM(F663:H663)</f>
        <v>1697923.93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1913993.4900000005</v>
      </c>
      <c r="G664" s="19">
        <f>G660-SUM(G661:G663)</f>
        <v>0</v>
      </c>
      <c r="H664" s="19">
        <f>H660-SUM(H661:H663)</f>
        <v>0</v>
      </c>
      <c r="I664" s="19">
        <f>I660-SUM(I661:I663)</f>
        <v>1913993.4900000007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138.76</v>
      </c>
      <c r="G665" s="248"/>
      <c r="H665" s="248"/>
      <c r="I665" s="19">
        <f>SUM(F665:H665)</f>
        <v>138.76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13793.55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13793.55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13793.55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13793.55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fitToHeight="25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11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Middleton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405264.68</v>
      </c>
      <c r="C9" s="229">
        <f>'DOE25'!G197+'DOE25'!G215+'DOE25'!G233+'DOE25'!G276+'DOE25'!G295+'DOE25'!G314</f>
        <v>197569.46000000002</v>
      </c>
    </row>
    <row r="10" spans="1:3" x14ac:dyDescent="0.2">
      <c r="A10" t="s">
        <v>778</v>
      </c>
      <c r="B10" s="240">
        <v>301922.18660000002</v>
      </c>
      <c r="C10" s="240">
        <v>147189.24770000001</v>
      </c>
    </row>
    <row r="11" spans="1:3" x14ac:dyDescent="0.2">
      <c r="A11" t="s">
        <v>779</v>
      </c>
      <c r="B11" s="240">
        <v>77000.289199999999</v>
      </c>
      <c r="C11" s="240">
        <v>37538.197400000005</v>
      </c>
    </row>
    <row r="12" spans="1:3" x14ac:dyDescent="0.2">
      <c r="A12" t="s">
        <v>780</v>
      </c>
      <c r="B12" s="240">
        <v>26342.2042</v>
      </c>
      <c r="C12" s="240">
        <v>12842.014900000002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405264.68</v>
      </c>
      <c r="C13" s="231">
        <f>SUM(C10:C12)</f>
        <v>197569.46000000002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160049.71</v>
      </c>
      <c r="C18" s="229">
        <f>'DOE25'!G198+'DOE25'!G216+'DOE25'!G234+'DOE25'!G277+'DOE25'!G296+'DOE25'!G315</f>
        <v>68560.03</v>
      </c>
    </row>
    <row r="19" spans="1:3" x14ac:dyDescent="0.2">
      <c r="A19" t="s">
        <v>778</v>
      </c>
      <c r="B19" s="240">
        <v>119237.03395</v>
      </c>
      <c r="C19" s="240">
        <v>51077.222349999996</v>
      </c>
    </row>
    <row r="20" spans="1:3" x14ac:dyDescent="0.2">
      <c r="A20" t="s">
        <v>779</v>
      </c>
      <c r="B20" s="240">
        <v>30409.444899999999</v>
      </c>
      <c r="C20" s="240">
        <v>13026.405699999999</v>
      </c>
    </row>
    <row r="21" spans="1:3" x14ac:dyDescent="0.2">
      <c r="A21" t="s">
        <v>780</v>
      </c>
      <c r="B21" s="240">
        <v>10403.23115</v>
      </c>
      <c r="C21" s="240">
        <v>4456.4019500000004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160049.71</v>
      </c>
      <c r="C22" s="231">
        <f>SUM(C19:C21)</f>
        <v>68560.03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Middleton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2677676.25</v>
      </c>
      <c r="D5" s="20">
        <f>SUM('DOE25'!L197:L200)+SUM('DOE25'!L215:L218)+SUM('DOE25'!L233:L236)-F5-G5</f>
        <v>2673348.7999999998</v>
      </c>
      <c r="E5" s="243"/>
      <c r="F5" s="255">
        <f>SUM('DOE25'!J197:J200)+SUM('DOE25'!J215:J218)+SUM('DOE25'!J233:J236)</f>
        <v>4327.45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107306.54</v>
      </c>
      <c r="D6" s="20">
        <f>'DOE25'!L202+'DOE25'!L220+'DOE25'!L238-F6-G6</f>
        <v>104729.56999999999</v>
      </c>
      <c r="E6" s="243"/>
      <c r="F6" s="255">
        <f>'DOE25'!J202+'DOE25'!J220+'DOE25'!J238</f>
        <v>2576.9699999999998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45953.760000000002</v>
      </c>
      <c r="D7" s="20">
        <f>'DOE25'!L203+'DOE25'!L221+'DOE25'!L239-F7-G7</f>
        <v>44999.85</v>
      </c>
      <c r="E7" s="243"/>
      <c r="F7" s="255">
        <f>'DOE25'!J203+'DOE25'!J221+'DOE25'!J239</f>
        <v>953.91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0.41000000001622539</v>
      </c>
      <c r="D8" s="243"/>
      <c r="E8" s="20">
        <f>'DOE25'!L204+'DOE25'!L222+'DOE25'!L240-F8-G8-D9-D11</f>
        <v>-4609.9199999999837</v>
      </c>
      <c r="F8" s="255">
        <f>'DOE25'!J204+'DOE25'!J222+'DOE25'!J240</f>
        <v>0</v>
      </c>
      <c r="G8" s="53">
        <f>'DOE25'!K204+'DOE25'!K222+'DOE25'!K240</f>
        <v>4610.33</v>
      </c>
      <c r="H8" s="259"/>
    </row>
    <row r="9" spans="1:9" x14ac:dyDescent="0.2">
      <c r="A9" s="32">
        <v>2310</v>
      </c>
      <c r="B9" t="s">
        <v>817</v>
      </c>
      <c r="C9" s="245">
        <f t="shared" si="0"/>
        <v>36146</v>
      </c>
      <c r="D9" s="244">
        <v>36146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1176.5999999999999</v>
      </c>
      <c r="D10" s="243"/>
      <c r="E10" s="244">
        <v>1176.5999999999999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167934</v>
      </c>
      <c r="D11" s="244">
        <v>167934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220749.33</v>
      </c>
      <c r="D12" s="20">
        <f>'DOE25'!L205+'DOE25'!L223+'DOE25'!L241-F12-G12</f>
        <v>220749.33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2671.67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2671.67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200127.89</v>
      </c>
      <c r="D14" s="20">
        <f>'DOE25'!L207+'DOE25'!L225+'DOE25'!L243-F14-G14</f>
        <v>185605.7</v>
      </c>
      <c r="E14" s="243"/>
      <c r="F14" s="255">
        <f>'DOE25'!J207+'DOE25'!J225+'DOE25'!J243</f>
        <v>14522.19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172746.49</v>
      </c>
      <c r="D15" s="20">
        <f>'DOE25'!L208+'DOE25'!L226+'DOE25'!L244-F15-G15</f>
        <v>165778.49</v>
      </c>
      <c r="E15" s="243"/>
      <c r="F15" s="255">
        <f>'DOE25'!J208+'DOE25'!J226+'DOE25'!J244</f>
        <v>6300</v>
      </c>
      <c r="G15" s="53">
        <f>'DOE25'!K208+'DOE25'!K226+'DOE25'!K244</f>
        <v>668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83910.49</v>
      </c>
      <c r="D16" s="243"/>
      <c r="E16" s="20">
        <f>'DOE25'!L209+'DOE25'!L227+'DOE25'!L245-F16-G16</f>
        <v>52588.930000000008</v>
      </c>
      <c r="F16" s="255">
        <f>'DOE25'!J209+'DOE25'!J227+'DOE25'!J245</f>
        <v>31321.56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553707.5</v>
      </c>
      <c r="D25" s="243"/>
      <c r="E25" s="243"/>
      <c r="F25" s="258"/>
      <c r="G25" s="256"/>
      <c r="H25" s="257">
        <f>'DOE25'!L260+'DOE25'!L261+'DOE25'!L341+'DOE25'!L342</f>
        <v>553707.5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23560.379999999997</v>
      </c>
      <c r="D29" s="20">
        <f>'DOE25'!L358+'DOE25'!L359+'DOE25'!L360-'DOE25'!I367-F29-G29</f>
        <v>23560.379999999997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36310.22</v>
      </c>
      <c r="D31" s="20">
        <f>'DOE25'!L290+'DOE25'!L309+'DOE25'!L328+'DOE25'!L333+'DOE25'!L334+'DOE25'!L335-F31-G31</f>
        <v>35701.46</v>
      </c>
      <c r="E31" s="243"/>
      <c r="F31" s="255">
        <f>'DOE25'!J290+'DOE25'!J309+'DOE25'!J328+'DOE25'!J333+'DOE25'!J334+'DOE25'!J335</f>
        <v>608.76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3658553.58</v>
      </c>
      <c r="E33" s="246">
        <f>SUM(E5:E31)</f>
        <v>49155.610000000022</v>
      </c>
      <c r="F33" s="246">
        <f>SUM(F5:F31)</f>
        <v>60610.840000000004</v>
      </c>
      <c r="G33" s="246">
        <f>SUM(G5:G31)</f>
        <v>7950</v>
      </c>
      <c r="H33" s="246">
        <f>SUM(H5:H31)</f>
        <v>553707.5</v>
      </c>
    </row>
    <row r="35" spans="2:8" ht="12" thickBot="1" x14ac:dyDescent="0.25">
      <c r="B35" s="253" t="s">
        <v>846</v>
      </c>
      <c r="D35" s="254">
        <f>E33</f>
        <v>49155.610000000022</v>
      </c>
      <c r="E35" s="249"/>
    </row>
    <row r="36" spans="2:8" ht="12" thickTop="1" x14ac:dyDescent="0.2">
      <c r="B36" t="s">
        <v>814</v>
      </c>
      <c r="D36" s="20">
        <f>D33</f>
        <v>3658553.58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8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1445339.9</v>
      </c>
      <c r="D8" s="95">
        <f>'DOE25'!G9</f>
        <v>0</v>
      </c>
      <c r="E8" s="95">
        <f>'DOE25'!H9</f>
        <v>0</v>
      </c>
      <c r="F8" s="95">
        <f>'DOE25'!I9</f>
        <v>198254.84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1688.04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1078.9000000000001</v>
      </c>
      <c r="D12" s="95">
        <f>'DOE25'!G13</f>
        <v>3554.91</v>
      </c>
      <c r="E12" s="95">
        <f>'DOE25'!H13</f>
        <v>4247.75</v>
      </c>
      <c r="F12" s="95">
        <f>'DOE25'!I13</f>
        <v>0</v>
      </c>
      <c r="G12" s="95">
        <f>'DOE25'!J13</f>
        <v>240270.06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1446418.7999999998</v>
      </c>
      <c r="D18" s="41">
        <f>SUM(D8:D17)</f>
        <v>3554.91</v>
      </c>
      <c r="E18" s="41">
        <f>SUM(E8:E17)</f>
        <v>4247.75</v>
      </c>
      <c r="F18" s="41">
        <f>SUM(F8:F17)</f>
        <v>199942.88</v>
      </c>
      <c r="G18" s="41">
        <f>SUM(G8:G17)</f>
        <v>240270.06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91284.61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830.7</v>
      </c>
      <c r="E22" s="95">
        <f>'DOE25'!H23</f>
        <v>3841.46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21894.01</v>
      </c>
      <c r="D27" s="95">
        <f>'DOE25'!G28</f>
        <v>1265.53</v>
      </c>
      <c r="E27" s="95">
        <f>'DOE25'!H28</f>
        <v>406.29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797.14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113178.62</v>
      </c>
      <c r="D31" s="41">
        <f>SUM(D21:D30)</f>
        <v>2893.37</v>
      </c>
      <c r="E31" s="41">
        <f>SUM(E21:E30)</f>
        <v>4247.75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661.54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199942.88</v>
      </c>
      <c r="G47" s="95">
        <f>'DOE25'!J48</f>
        <v>240270.06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106956.03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1199284.1499999999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1333240.18</v>
      </c>
      <c r="D50" s="41">
        <f>SUM(D34:D49)</f>
        <v>661.54</v>
      </c>
      <c r="E50" s="41">
        <f>SUM(E34:E49)</f>
        <v>0</v>
      </c>
      <c r="F50" s="41">
        <f>SUM(F34:F49)</f>
        <v>199942.88</v>
      </c>
      <c r="G50" s="41">
        <f>SUM(G34:G49)</f>
        <v>240270.06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1446418.7999999998</v>
      </c>
      <c r="D51" s="41">
        <f>D50+D31</f>
        <v>3554.91</v>
      </c>
      <c r="E51" s="41">
        <f>E50+E31</f>
        <v>4247.75</v>
      </c>
      <c r="F51" s="41">
        <f>F50+F31</f>
        <v>199942.88</v>
      </c>
      <c r="G51" s="41">
        <f>G50+G31</f>
        <v>240270.06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3452509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395.81</v>
      </c>
      <c r="G59" s="95">
        <f>'DOE25'!J96</f>
        <v>478.78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23313.94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6497.32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7197.32</v>
      </c>
      <c r="D62" s="130">
        <f>SUM(D57:D61)</f>
        <v>23313.94</v>
      </c>
      <c r="E62" s="130">
        <f>SUM(E57:E61)</f>
        <v>0</v>
      </c>
      <c r="F62" s="130">
        <f>SUM(F57:F61)</f>
        <v>395.81</v>
      </c>
      <c r="G62" s="130">
        <f>SUM(G57:G61)</f>
        <v>478.78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3459706.32</v>
      </c>
      <c r="D63" s="22">
        <f>D56+D62</f>
        <v>23313.94</v>
      </c>
      <c r="E63" s="22">
        <f>E56+E62</f>
        <v>0</v>
      </c>
      <c r="F63" s="22">
        <f>F56+F62</f>
        <v>395.81</v>
      </c>
      <c r="G63" s="22">
        <f>G56+G62</f>
        <v>478.78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1250293.79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361965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1612258.79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6194.08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6194.08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1618452.87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27492.400000000001</v>
      </c>
      <c r="E88" s="95">
        <f>SUM('DOE25'!H153:H161)</f>
        <v>36310.22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27492.400000000001</v>
      </c>
      <c r="E91" s="131">
        <f>SUM(E85:E90)</f>
        <v>36310.22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41000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41000</v>
      </c>
    </row>
    <row r="104" spans="1:7" ht="12.75" thickTop="1" thickBot="1" x14ac:dyDescent="0.25">
      <c r="A104" s="33" t="s">
        <v>764</v>
      </c>
      <c r="C104" s="86">
        <f>C63+C81+C91+C103</f>
        <v>5078159.1899999995</v>
      </c>
      <c r="D104" s="86">
        <f>D63+D81+D91+D103</f>
        <v>50806.34</v>
      </c>
      <c r="E104" s="86">
        <f>E63+E81+E91+E103</f>
        <v>36310.22</v>
      </c>
      <c r="F104" s="86">
        <f>F63+F81+F91+F103</f>
        <v>395.81</v>
      </c>
      <c r="G104" s="86">
        <f>G63+G81+G103</f>
        <v>41478.78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2022758.47</v>
      </c>
      <c r="D109" s="24" t="s">
        <v>288</v>
      </c>
      <c r="E109" s="95">
        <f>('DOE25'!L276)+('DOE25'!L295)+('DOE25'!L314)</f>
        <v>7801.5300000000007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654917.77999999991</v>
      </c>
      <c r="D110" s="24" t="s">
        <v>288</v>
      </c>
      <c r="E110" s="95">
        <f>('DOE25'!L277)+('DOE25'!L296)+('DOE25'!L315)</f>
        <v>1692.16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2677676.25</v>
      </c>
      <c r="D115" s="86">
        <f>SUM(D109:D114)</f>
        <v>0</v>
      </c>
      <c r="E115" s="86">
        <f>SUM(E109:E114)</f>
        <v>9493.69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107306.54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45953.760000000002</v>
      </c>
      <c r="D119" s="24" t="s">
        <v>288</v>
      </c>
      <c r="E119" s="95">
        <f>+('DOE25'!L282)+('DOE25'!L301)+('DOE25'!L320)</f>
        <v>26816.530000000002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204080.41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220749.33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2671.67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200127.89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172746.49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83910.49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50144.799999999996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1037546.58</v>
      </c>
      <c r="D128" s="86">
        <f>SUM(D118:D127)</f>
        <v>50144.799999999996</v>
      </c>
      <c r="E128" s="86">
        <f>SUM(E118:E127)</f>
        <v>26816.530000000002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203640.7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248707.5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15074.47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26404.31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-478.77999999999884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594707.5</v>
      </c>
      <c r="D144" s="141">
        <f>SUM(D130:D143)</f>
        <v>0</v>
      </c>
      <c r="E144" s="141">
        <f>SUM(E130:E143)</f>
        <v>0</v>
      </c>
      <c r="F144" s="141">
        <f>SUM(F130:F143)</f>
        <v>203640.7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4309930.33</v>
      </c>
      <c r="D145" s="86">
        <f>(D115+D128+D144)</f>
        <v>50144.799999999996</v>
      </c>
      <c r="E145" s="86">
        <f>(E115+E128+E144)</f>
        <v>36310.22</v>
      </c>
      <c r="F145" s="86">
        <f>(F115+F128+F144)</f>
        <v>203640.7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07/17/2014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08/15/2034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6037500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5735000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5735000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305000</v>
      </c>
    </row>
    <row r="159" spans="1:9" x14ac:dyDescent="0.2">
      <c r="A159" s="22" t="s">
        <v>35</v>
      </c>
      <c r="B159" s="137">
        <f>'DOE25'!F498</f>
        <v>5430000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5430000</v>
      </c>
    </row>
    <row r="160" spans="1:9" x14ac:dyDescent="0.2">
      <c r="A160" s="22" t="s">
        <v>36</v>
      </c>
      <c r="B160" s="137">
        <f>'DOE25'!F499</f>
        <v>2039190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2039190</v>
      </c>
    </row>
    <row r="161" spans="1:7" x14ac:dyDescent="0.2">
      <c r="A161" s="22" t="s">
        <v>37</v>
      </c>
      <c r="B161" s="137">
        <f>'DOE25'!F500</f>
        <v>7469190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7469190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Middleton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13794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13794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2030560</v>
      </c>
      <c r="D10" s="182">
        <f>ROUND((C10/$C$28)*100,1)</f>
        <v>50.4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656610</v>
      </c>
      <c r="D11" s="182">
        <f>ROUND((C11/$C$28)*100,1)</f>
        <v>16.3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107307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72770</v>
      </c>
      <c r="D16" s="182">
        <f t="shared" si="0"/>
        <v>1.8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287991</v>
      </c>
      <c r="D17" s="182">
        <f t="shared" si="0"/>
        <v>7.2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220749</v>
      </c>
      <c r="D18" s="182">
        <f t="shared" si="0"/>
        <v>5.5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2672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200128</v>
      </c>
      <c r="D20" s="182">
        <f t="shared" si="0"/>
        <v>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172746</v>
      </c>
      <c r="D21" s="182">
        <f t="shared" si="0"/>
        <v>4.3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248708</v>
      </c>
      <c r="D25" s="182">
        <f t="shared" si="0"/>
        <v>6.2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26831.06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4027072.06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203641</v>
      </c>
    </row>
    <row r="30" spans="1:4" x14ac:dyDescent="0.2">
      <c r="B30" s="187" t="s">
        <v>728</v>
      </c>
      <c r="C30" s="180">
        <f>SUM(C28:C29)</f>
        <v>4230713.0600000005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3452509</v>
      </c>
      <c r="D35" s="182">
        <f t="shared" ref="D35:D40" si="1">ROUND((C35/$C$41)*100,1)</f>
        <v>67.099999999999994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8071.9099999996834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1612259</v>
      </c>
      <c r="D37" s="182">
        <f t="shared" si="1"/>
        <v>31.3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6194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63803</v>
      </c>
      <c r="D39" s="182">
        <f t="shared" si="1"/>
        <v>1.2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5142836.91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Middleton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2017-10-31T15:20:32Z</cp:lastPrinted>
  <dcterms:created xsi:type="dcterms:W3CDTF">1997-12-04T19:04:30Z</dcterms:created>
  <dcterms:modified xsi:type="dcterms:W3CDTF">2017-11-29T17:42:56Z</dcterms:modified>
</cp:coreProperties>
</file>