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5200" windowHeight="11685" tabRatio="857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G611" i="1" l="1"/>
  <c r="F611" i="1"/>
  <c r="G158" i="1"/>
  <c r="F2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C125" i="2" s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G552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L270" i="1" s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645" i="1" s="1"/>
  <c r="J645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I460" i="1"/>
  <c r="I461" i="1" s="1"/>
  <c r="H642" i="1" s="1"/>
  <c r="F461" i="1"/>
  <c r="H639" i="1" s="1"/>
  <c r="F470" i="1"/>
  <c r="G470" i="1"/>
  <c r="H470" i="1"/>
  <c r="I470" i="1"/>
  <c r="I476" i="1" s="1"/>
  <c r="H625" i="1" s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J641" i="1" s="1"/>
  <c r="G643" i="1"/>
  <c r="J643" i="1" s="1"/>
  <c r="H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L328" i="1"/>
  <c r="A31" i="12"/>
  <c r="D18" i="2"/>
  <c r="G161" i="2"/>
  <c r="D91" i="2"/>
  <c r="G62" i="2"/>
  <c r="D29" i="13"/>
  <c r="C29" i="13" s="1"/>
  <c r="E78" i="2"/>
  <c r="H112" i="1"/>
  <c r="I169" i="1"/>
  <c r="G338" i="1"/>
  <c r="G352" i="1" s="1"/>
  <c r="J140" i="1"/>
  <c r="K550" i="1"/>
  <c r="G22" i="2"/>
  <c r="H140" i="1"/>
  <c r="F22" i="13"/>
  <c r="C22" i="13" s="1"/>
  <c r="F338" i="1"/>
  <c r="F352" i="1" s="1"/>
  <c r="H192" i="1"/>
  <c r="L570" i="1"/>
  <c r="G36" i="2"/>
  <c r="L534" i="1" l="1"/>
  <c r="K545" i="1"/>
  <c r="H545" i="1"/>
  <c r="I545" i="1"/>
  <c r="G545" i="1"/>
  <c r="K549" i="1"/>
  <c r="G476" i="1"/>
  <c r="H623" i="1" s="1"/>
  <c r="J623" i="1" s="1"/>
  <c r="G257" i="1"/>
  <c r="G271" i="1" s="1"/>
  <c r="D14" i="13"/>
  <c r="C14" i="13" s="1"/>
  <c r="E16" i="13"/>
  <c r="C17" i="10"/>
  <c r="J640" i="1"/>
  <c r="K598" i="1"/>
  <c r="G647" i="1" s="1"/>
  <c r="K500" i="1"/>
  <c r="H476" i="1"/>
  <c r="H624" i="1" s="1"/>
  <c r="J624" i="1" s="1"/>
  <c r="L427" i="1"/>
  <c r="J639" i="1"/>
  <c r="L401" i="1"/>
  <c r="C139" i="2" s="1"/>
  <c r="H408" i="1"/>
  <c r="H644" i="1" s="1"/>
  <c r="L393" i="1"/>
  <c r="C138" i="2" s="1"/>
  <c r="J634" i="1"/>
  <c r="D127" i="2"/>
  <c r="D128" i="2" s="1"/>
  <c r="D145" i="2" s="1"/>
  <c r="J644" i="1"/>
  <c r="C26" i="10"/>
  <c r="A13" i="12"/>
  <c r="C132" i="2"/>
  <c r="L256" i="1"/>
  <c r="H257" i="1"/>
  <c r="H271" i="1" s="1"/>
  <c r="L247" i="1"/>
  <c r="H660" i="1" s="1"/>
  <c r="H664" i="1" s="1"/>
  <c r="H672" i="1" s="1"/>
  <c r="C6" i="10" s="1"/>
  <c r="J257" i="1"/>
  <c r="J271" i="1" s="1"/>
  <c r="F257" i="1"/>
  <c r="F271" i="1" s="1"/>
  <c r="I257" i="1"/>
  <c r="I271" i="1" s="1"/>
  <c r="L229" i="1"/>
  <c r="G660" i="1" s="1"/>
  <c r="G664" i="1" s="1"/>
  <c r="G667" i="1" s="1"/>
  <c r="K257" i="1"/>
  <c r="K271" i="1" s="1"/>
  <c r="L211" i="1"/>
  <c r="C18" i="10"/>
  <c r="C91" i="2"/>
  <c r="F112" i="1"/>
  <c r="C36" i="10" s="1"/>
  <c r="H52" i="1"/>
  <c r="H619" i="1" s="1"/>
  <c r="J619" i="1" s="1"/>
  <c r="J617" i="1"/>
  <c r="J622" i="1"/>
  <c r="C18" i="2"/>
  <c r="C16" i="13"/>
  <c r="E128" i="2"/>
  <c r="E115" i="2"/>
  <c r="E8" i="13"/>
  <c r="C8" i="13" s="1"/>
  <c r="L539" i="1"/>
  <c r="L382" i="1"/>
  <c r="G636" i="1" s="1"/>
  <c r="J636" i="1" s="1"/>
  <c r="F661" i="1"/>
  <c r="I661" i="1" s="1"/>
  <c r="C15" i="10"/>
  <c r="C10" i="10"/>
  <c r="C81" i="2"/>
  <c r="L290" i="1"/>
  <c r="K503" i="1"/>
  <c r="K352" i="1"/>
  <c r="C62" i="2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115" i="2" s="1"/>
  <c r="C56" i="2"/>
  <c r="F662" i="1"/>
  <c r="I662" i="1" s="1"/>
  <c r="C13" i="10"/>
  <c r="E13" i="13"/>
  <c r="C13" i="13" s="1"/>
  <c r="K551" i="1"/>
  <c r="H25" i="13"/>
  <c r="F169" i="1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K552" i="1" l="1"/>
  <c r="F660" i="1"/>
  <c r="F664" i="1" s="1"/>
  <c r="H646" i="1"/>
  <c r="J646" i="1" s="1"/>
  <c r="E145" i="2"/>
  <c r="L338" i="1"/>
  <c r="L352" i="1" s="1"/>
  <c r="G633" i="1" s="1"/>
  <c r="J633" i="1" s="1"/>
  <c r="C128" i="2"/>
  <c r="C145" i="2" s="1"/>
  <c r="H667" i="1"/>
  <c r="L257" i="1"/>
  <c r="L271" i="1" s="1"/>
  <c r="G632" i="1" s="1"/>
  <c r="J632" i="1" s="1"/>
  <c r="F193" i="1"/>
  <c r="G627" i="1" s="1"/>
  <c r="J627" i="1" s="1"/>
  <c r="C63" i="2"/>
  <c r="C104" i="2" s="1"/>
  <c r="G672" i="1"/>
  <c r="C5" i="10" s="1"/>
  <c r="C25" i="13"/>
  <c r="H33" i="13"/>
  <c r="D31" i="13"/>
  <c r="C31" i="13" s="1"/>
  <c r="L545" i="1"/>
  <c r="C28" i="10"/>
  <c r="D24" i="10" s="1"/>
  <c r="H648" i="1"/>
  <c r="J648" i="1" s="1"/>
  <c r="G104" i="2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10" i="10"/>
  <c r="D16" i="10"/>
  <c r="D26" i="10"/>
  <c r="C30" i="10"/>
  <c r="D15" i="10"/>
  <c r="D25" i="10"/>
  <c r="D19" i="10"/>
  <c r="D13" i="10"/>
  <c r="D11" i="10"/>
  <c r="D21" i="10"/>
  <c r="D22" i="10"/>
  <c r="D20" i="10"/>
  <c r="D27" i="10"/>
  <c r="D18" i="10"/>
  <c r="D17" i="10"/>
  <c r="D12" i="10"/>
  <c r="D23" i="10"/>
  <c r="D33" i="13"/>
  <c r="D36" i="13" s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<sst xmlns="http://schemas.openxmlformats.org/spreadsheetml/2006/main" count="3958" uniqueCount="916">
  <si>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</si>
  <si>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</si>
  <si>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</si>
  <si>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</si>
  <si>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</si>
  <si>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</si>
  <si>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</si>
  <si>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</si>
  <si>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</si>
  <si>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</si>
  <si>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</si>
  <si>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</si>
  <si>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</si>
  <si>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</si>
  <si>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</si>
  <si>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</si>
  <si>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</si>
  <si>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</si>
  <si>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</si>
  <si>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</si>
  <si>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</si>
  <si>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</si>
  <si>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</si>
  <si>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</si>
  <si>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</si>
  <si>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</si>
  <si>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</si>
  <si>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</si>
  <si>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</si>
  <si>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</si>
  <si>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</si>
  <si>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</si>
  <si>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</si>
  <si>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</si>
  <si>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</si>
  <si>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</si>
  <si>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</si>
  <si>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</si>
  <si>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</si>
  <si>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</si>
  <si>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</si>
  <si>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</si>
  <si>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</si>
  <si>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</si>
  <si>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</si>
  <si>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</si>
  <si>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</si>
  <si>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</si>
  <si>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</si>
  <si>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</si>
  <si>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</si>
  <si>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</si>
  <si>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</si>
  <si>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</si>
  <si>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</si>
  <si>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</si>
  <si>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</si>
  <si>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</si>
  <si>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</si>
  <si>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</si>
  <si>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</si>
  <si>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</si>
  <si>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</si>
  <si>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</si>
  <si>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</si>
  <si>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</si>
  <si>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</si>
  <si>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</si>
  <si>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</si>
  <si>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</si>
  <si>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</si>
  <si>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</si>
  <si>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</si>
  <si>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</si>
  <si>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</si>
  <si>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</si>
  <si>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</si>
  <si>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</si>
  <si>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</si>
  <si>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</si>
  <si>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</si>
  <si>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</si>
  <si>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</si>
  <si>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</si>
  <si>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</si>
  <si>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</si>
  <si>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</si>
  <si>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</si>
  <si>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</si>
  <si>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</si>
  <si>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</si>
  <si>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</si>
  <si>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</si>
  <si>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</si>
  <si>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</si>
  <si>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</si>
  <si>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</si>
  <si>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</si>
  <si>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</si>
  <si>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</si>
  <si>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</si>
  <si>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</si>
  <si>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</si>
  <si>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</si>
  <si>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</si>
  <si>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</si>
  <si>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</si>
  <si>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</si>
  <si>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</si>
  <si>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</si>
  <si>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</si>
  <si>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</si>
  <si>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</si>
  <si>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</si>
  <si>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</si>
  <si>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</si>
  <si>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</si>
  <si>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</si>
  <si>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</si>
  <si>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</si>
  <si>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</si>
  <si>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</si>
  <si>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</si>
  <si>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</si>
  <si>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</si>
  <si>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</si>
  <si>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</si>
  <si>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</si>
  <si>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</si>
  <si>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</si>
  <si>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</si>
  <si>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</si>
  <si>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</si>
  <si>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</si>
  <si>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</si>
  <si>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</si>
  <si>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</si>
  <si>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</si>
  <si>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</si>
  <si>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</si>
  <si>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</si>
  <si>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</si>
  <si>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</si>
  <si>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</si>
  <si>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</si>
  <si>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</si>
  <si>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</si>
  <si>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</si>
  <si>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</si>
  <si>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</si>
  <si>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</si>
  <si>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</si>
  <si>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</si>
  <si>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</si>
  <si>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</si>
  <si>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</si>
  <si>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</si>
  <si>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</si>
  <si>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</si>
  <si>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</si>
  <si>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</si>
  <si>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</si>
  <si>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</si>
  <si>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</si>
  <si>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</si>
  <si>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</si>
  <si>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</si>
  <si>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</si>
  <si>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</si>
  <si>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</si>
  <si>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</si>
  <si>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</si>
  <si>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</si>
  <si>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</si>
  <si>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</si>
  <si>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</si>
  <si>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</si>
  <si>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</si>
  <si>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</si>
  <si>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</si>
  <si>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</si>
  <si>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</si>
  <si>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</si>
  <si>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</si>
  <si>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</si>
  <si>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</si>
  <si>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</si>
  <si>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</si>
  <si>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</si>
  <si>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</si>
  <si>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</si>
  <si>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</si>
  <si>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</si>
  <si>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</si>
  <si>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</si>
  <si>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</si>
  <si>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</si>
  <si>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</si>
  <si>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</si>
  <si>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</si>
  <si>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</si>
  <si>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</si>
  <si>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</si>
  <si>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</si>
  <si>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</si>
  <si>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</si>
  <si>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</si>
  <si>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</si>
  <si>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</si>
  <si>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</si>
  <si>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</si>
  <si>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</si>
  <si>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</si>
  <si>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</si>
  <si>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</si>
  <si>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</si>
  <si>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</si>
  <si>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</si>
  <si>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</si>
  <si>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</si>
  <si>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</si>
  <si>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</si>
  <si>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</si>
  <si>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</si>
  <si>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</si>
  <si>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</si>
  <si>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</si>
  <si>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</si>
  <si>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</si>
  <si>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</si>
  <si>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</si>
  <si>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</si>
  <si>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</si>
  <si>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</si>
  <si>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</si>
  <si>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</si>
  <si>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</si>
  <si>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</si>
  <si>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</si>
  <si>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</si>
  <si>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</si>
  <si>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</si>
  <si>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</si>
  <si>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</si>
  <si>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</si>
  <si>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</si>
  <si>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</si>
  <si>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</si>
  <si>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</si>
  <si>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</si>
  <si>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</si>
  <si>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</si>
  <si>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</si>
  <si>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</si>
  <si>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</si>
  <si>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</si>
  <si>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</si>
  <si>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</si>
  <si>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</si>
  <si>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</si>
  <si>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</si>
  <si>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</si>
  <si>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</si>
  <si>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</si>
  <si>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</si>
  <si>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</si>
  <si>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</si>
  <si>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</si>
  <si>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</si>
  <si>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</si>
  <si>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</si>
  <si>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</si>
  <si>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</si>
  <si>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</si>
  <si>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</si>
  <si>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</si>
  <si>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</si>
  <si>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</si>
  <si>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</si>
  <si>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</si>
  <si>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</si>
  <si>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</si>
  <si>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</si>
  <si>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</si>
  <si>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</si>
  <si>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</si>
  <si>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</si>
  <si>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</si>
  <si>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</si>
  <si>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</si>
  <si>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</si>
  <si>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</si>
  <si>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</si>
  <si>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</si>
  <si>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</si>
  <si>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</si>
  <si>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</si>
  <si>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</si>
  <si>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</si>
  <si>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</si>
  <si>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</si>
  <si>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</si>
  <si>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</si>
  <si>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</si>
  <si>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</si>
  <si>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</si>
  <si>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</si>
  <si>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</si>
  <si>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</si>
  <si>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</si>
  <si>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</si>
  <si>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</si>
  <si>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</si>
  <si>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</si>
  <si>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</si>
  <si>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</si>
  <si>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</si>
  <si>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</si>
  <si>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</si>
  <si>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</si>
  <si>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</si>
  <si>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</si>
  <si>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</si>
  <si>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</si>
  <si>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</si>
  <si>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</si>
  <si>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</si>
  <si>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</si>
  <si>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</si>
  <si>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</si>
  <si>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</si>
  <si>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</si>
  <si>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</si>
  <si>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</si>
  <si>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</si>
  <si>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</si>
  <si>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</si>
  <si>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</si>
  <si>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</si>
  <si>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</si>
  <si>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</si>
  <si>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</si>
  <si>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</si>
  <si>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</si>
  <si>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</si>
  <si>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</si>
  <si>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</si>
  <si>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</si>
  <si>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</si>
  <si>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</si>
  <si>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</si>
  <si>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</si>
  <si>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</si>
  <si>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</si>
  <si>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</si>
  <si>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</si>
  <si>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</si>
  <si>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</si>
  <si>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</si>
  <si>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</si>
  <si>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</si>
  <si>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</si>
  <si>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</si>
  <si>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</si>
  <si>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</si>
  <si>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</si>
  <si>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</si>
  <si>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</si>
  <si>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</si>
  <si>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</si>
  <si>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</si>
  <si>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</si>
  <si>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</si>
  <si>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</si>
  <si>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</si>
  <si>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</si>
  <si>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</si>
  <si>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</si>
  <si>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</si>
  <si>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</si>
  <si>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</si>
  <si>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</si>
  <si>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</si>
  <si>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</si>
  <si>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</si>
  <si>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</si>
  <si>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</si>
  <si>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</si>
  <si>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</si>
  <si>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</si>
  <si>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</si>
  <si>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</si>
  <si>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</si>
  <si>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</si>
  <si>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</si>
  <si>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</si>
  <si>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</si>
  <si>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</si>
  <si>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</si>
  <si>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</si>
  <si>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</si>
  <si>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</si>
  <si>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</si>
  <si>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</si>
  <si>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</si>
  <si>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</si>
  <si>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</si>
  <si>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</si>
  <si>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</si>
  <si>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</si>
  <si>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</si>
  <si>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</si>
  <si>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</si>
  <si>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</si>
  <si>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</si>
  <si>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</si>
  <si>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</si>
  <si>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</si>
  <si>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</si>
  <si>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</si>
  <si>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</si>
  <si>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</si>
  <si>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</si>
  <si>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</si>
  <si>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</si>
  <si>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</si>
  <si>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</si>
  <si>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</si>
  <si>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</si>
  <si>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</si>
  <si>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</si>
  <si>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</si>
  <si>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</si>
  <si>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</si>
  <si>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</si>
  <si>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</si>
  <si>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</si>
  <si>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</si>
  <si>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</si>
  <si>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</si>
  <si>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</si>
  <si>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</si>
  <si>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</si>
  <si>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</si>
  <si>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</si>
  <si>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</si>
  <si>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</si>
  <si>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</si>
  <si>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</si>
  <si>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</si>
  <si>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</si>
  <si>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</si>
  <si>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</si>
  <si>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</si>
  <si>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</si>
  <si>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</si>
  <si>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</si>
  <si>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</si>
  <si>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</si>
  <si>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</si>
  <si>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</si>
  <si>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</si>
  <si>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</si>
  <si>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</si>
  <si>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</si>
  <si>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</si>
  <si>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</si>
  <si>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</si>
  <si>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</si>
  <si>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</si>
  <si>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</si>
  <si>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</si>
  <si>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</si>
  <si>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</si>
  <si>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</si>
  <si>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</si>
  <si>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</si>
  <si>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</si>
  <si>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</si>
  <si>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</si>
  <si>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</si>
  <si>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</si>
  <si>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</si>
  <si>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</si>
  <si>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</si>
  <si>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</si>
  <si>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</si>
  <si>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</si>
  <si>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</si>
  <si>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</si>
  <si>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</si>
  <si>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</si>
  <si>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</si>
  <si>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</si>
  <si>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</si>
  <si>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</si>
  <si>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</si>
  <si>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</si>
  <si>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</si>
  <si>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</si>
  <si>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</si>
  <si>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</si>
  <si>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</si>
  <si>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</si>
  <si>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</si>
  <si>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</si>
  <si>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</si>
  <si>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</si>
  <si>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</si>
  <si>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</si>
  <si>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</si>
  <si>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</si>
  <si>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</si>
  <si>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</si>
  <si>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</si>
  <si>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</si>
  <si>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</si>
  <si>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</si>
  <si>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</si>
  <si>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</si>
  <si>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</si>
  <si>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</si>
  <si>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</si>
  <si>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</si>
  <si>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</si>
  <si>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</si>
  <si>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</si>
  <si>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</si>
  <si>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</si>
  <si>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</si>
  <si>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</si>
  <si>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</si>
  <si>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</si>
  <si>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</si>
  <si>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</si>
  <si>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</si>
  <si>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</si>
  <si>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</si>
  <si>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</si>
  <si>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</si>
  <si>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</si>
  <si>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</si>
  <si>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</si>
  <si>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</si>
  <si>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</si>
  <si>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</si>
  <si>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</si>
  <si>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</si>
  <si>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</si>
  <si>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</si>
  <si>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</si>
  <si>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</si>
  <si>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</si>
  <si>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</si>
  <si>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</si>
  <si>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</si>
  <si>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</si>
  <si>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</si>
  <si>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</si>
  <si>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</si>
  <si>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</si>
  <si>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</si>
  <si>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</si>
  <si>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</si>
  <si>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</si>
  <si>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</si>
  <si>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</si>
  <si>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</si>
  <si>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</si>
  <si>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</si>
  <si>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</si>
  <si>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</si>
  <si>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</si>
  <si>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</si>
  <si>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</si>
  <si>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</si>
  <si>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</si>
  <si>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</si>
  <si>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</si>
  <si>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</si>
  <si>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</si>
  <si>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</si>
  <si>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</si>
  <si>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</si>
  <si>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</si>
  <si>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</si>
  <si>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</si>
  <si>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</si>
  <si>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</si>
  <si>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</si>
  <si>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</si>
  <si>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</si>
  <si>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</si>
  <si>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</si>
  <si>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</si>
  <si>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</si>
  <si>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</si>
  <si>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</si>
  <si>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</si>
  <si>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</si>
  <si>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</si>
  <si>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</si>
  <si>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</si>
  <si>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</si>
  <si>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</si>
  <si>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</si>
  <si>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</si>
  <si>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</si>
  <si>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</si>
  <si>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</si>
  <si>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</si>
  <si>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</si>
  <si>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</si>
  <si>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</si>
  <si>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</si>
  <si>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</si>
  <si>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</si>
  <si>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</si>
  <si>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</si>
  <si>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</si>
  <si>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</si>
  <si>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</si>
  <si>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</si>
  <si>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</si>
  <si>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</si>
  <si>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</si>
  <si>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</si>
  <si>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</si>
  <si>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</si>
  <si>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</si>
  <si>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</si>
  <si>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</si>
  <si>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</si>
  <si>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</si>
  <si>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</si>
  <si>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</si>
  <si>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</si>
  <si>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</si>
  <si>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</si>
  <si>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</si>
  <si>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</si>
  <si>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</si>
  <si>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</si>
  <si>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</si>
  <si>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</si>
  <si>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</si>
  <si>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</si>
  <si>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</si>
  <si>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</si>
  <si>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</si>
  <si>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</si>
  <si>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</si>
  <si>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</si>
  <si>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</si>
  <si>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</si>
  <si>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</si>
  <si>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</si>
  <si>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</si>
  <si>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</si>
  <si>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</si>
  <si>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</si>
  <si>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</si>
  <si>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</si>
  <si>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</si>
  <si>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</si>
  <si>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</si>
  <si>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</si>
  <si>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</si>
  <si>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</si>
  <si>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</si>
  <si>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</si>
  <si>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</si>
  <si>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</si>
  <si>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</si>
  <si>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</si>
  <si>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</si>
  <si>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</si>
  <si>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</si>
  <si>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</si>
  <si>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</si>
  <si>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</si>
  <si>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</si>
  <si>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</si>
  <si>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</si>
  <si>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</si>
  <si>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</si>
  <si>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</si>
  <si>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</si>
  <si>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</si>
  <si>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</si>
  <si>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</si>
  <si>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</si>
  <si>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</si>
  <si>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</si>
  <si>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</si>
  <si>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</si>
  <si>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</si>
  <si>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</si>
  <si>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</si>
  <si>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</si>
  <si>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</si>
  <si>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</si>
  <si>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</si>
  <si>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</si>
  <si>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</si>
  <si>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</si>
  <si>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</si>
  <si>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</si>
  <si>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</si>
  <si>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</si>
  <si>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</si>
  <si>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</si>
  <si>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</si>
  <si>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</si>
  <si>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</si>
  <si>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</si>
  <si>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</si>
  <si>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</si>
  <si>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</si>
  <si>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</si>
  <si>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</si>
  <si>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</si>
  <si>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</si>
  <si>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</si>
  <si>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</si>
  <si>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</si>
  <si>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</si>
  <si>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</si>
  <si>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</si>
  <si>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</si>
  <si>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</si>
  <si>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</si>
  <si>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</si>
  <si>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</si>
  <si>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</si>
  <si>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</si>
  <si>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</si>
  <si>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</si>
  <si>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</si>
  <si>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</si>
  <si>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</si>
  <si>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</si>
  <si>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</si>
  <si>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</si>
  <si>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</si>
  <si>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</si>
  <si>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</si>
  <si>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</si>
  <si>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</si>
  <si>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</si>
  <si>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</si>
  <si>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</si>
  <si>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</si>
  <si>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</si>
  <si>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</si>
  <si>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</si>
  <si>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</si>
  <si>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</si>
  <si>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</si>
  <si>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</si>
  <si>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</si>
  <si>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</si>
  <si>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</si>
  <si>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</si>
  <si>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</si>
  <si>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</si>
  <si>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</si>
  <si>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</si>
  <si>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</si>
  <si>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</si>
  <si>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</si>
  <si>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</si>
  <si>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</si>
  <si>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</si>
  <si>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</si>
  <si>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</si>
  <si>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</si>
  <si>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</si>
  <si>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</si>
  <si>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</si>
  <si>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</si>
  <si>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</si>
  <si>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</si>
  <si>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</si>
  <si>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</si>
  <si>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</si>
  <si>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</si>
  <si>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</si>
  <si>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</si>
  <si>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</si>
  <si>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</si>
  <si>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</si>
  <si>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</si>
  <si>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</si>
  <si>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</si>
  <si>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</si>
  <si>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</si>
  <si>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</si>
  <si>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</si>
  <si>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</si>
  <si>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</si>
  <si>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</si>
  <si>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</si>
  <si>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</si>
  <si>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</si>
  <si>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</si>
  <si>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</si>
  <si>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</si>
  <si>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</si>
  <si>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</si>
  <si>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</si>
  <si>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</si>
  <si>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</si>
  <si>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</si>
  <si>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</si>
  <si>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</si>
  <si>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</si>
  <si>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</si>
  <si>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</si>
  <si>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</si>
  <si>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</si>
  <si>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</si>
  <si>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</si>
  <si>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</si>
  <si>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</si>
  <si>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</si>
  <si>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</si>
  <si>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</si>
  <si>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</si>
  <si>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</si>
  <si>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</si>
  <si>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</si>
  <si>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</si>
  <si>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</si>
  <si>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</si>
  <si>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</si>
  <si>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</si>
  <si>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</si>
  <si>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</si>
  <si>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</si>
  <si>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</si>
  <si>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</si>
  <si>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</si>
  <si>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</si>
  <si>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</si>
  <si>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</si>
  <si>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</si>
  <si>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</si>
  <si>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</si>
  <si>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</si>
  <si>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</si>
  <si>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</si>
  <si>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</si>
  <si>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</si>
  <si>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</si>
  <si>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</si>
  <si>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</si>
  <si>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</si>
  <si>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</si>
  <si>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</si>
  <si>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</si>
  <si>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</si>
  <si>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</si>
  <si>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</si>
  <si>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</si>
  <si>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</si>
  <si>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</si>
  <si>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</si>
  <si>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</si>
  <si>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</si>
  <si>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</si>
  <si>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</si>
  <si>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</si>
  <si>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</si>
  <si>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</si>
  <si>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</si>
  <si>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</si>
  <si>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</si>
  <si>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</si>
  <si>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</si>
  <si>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</si>
  <si>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</si>
  <si>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</si>
  <si>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</si>
  <si>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</si>
  <si>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</si>
  <si>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</si>
  <si>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</si>
  <si>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</si>
  <si>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</si>
  <si>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</si>
  <si>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</si>
  <si>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</si>
  <si>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</si>
  <si>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</si>
  <si>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</si>
  <si>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</si>
  <si>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</si>
  <si>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</si>
  <si>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</si>
  <si>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</si>
  <si>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</si>
  <si>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</si>
  <si>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</si>
  <si>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</si>
  <si>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</si>
  <si>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</si>
  <si>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</si>
  <si>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</si>
  <si>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</si>
  <si>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</si>
  <si>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</si>
  <si>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06/2002</t>
  </si>
  <si>
    <t>07/2017</t>
  </si>
  <si>
    <t>Milan School District</t>
  </si>
  <si>
    <t>Correction made on reporting tuition from line 5. (Adjustment made 9/12/17)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</si>
</sst>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80" zoomScaleNormal="8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G648" sqref="G6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355</v>
      </c>
      <c r="C2" s="21">
        <v>355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39329.45</f>
        <v>39329.449999999997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f>18013.54-31.25</f>
        <v>17982.29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7.99</v>
      </c>
      <c r="G12" s="18">
        <v>7070.04</v>
      </c>
      <c r="H12" s="18"/>
      <c r="I12" s="18"/>
      <c r="J12" s="67">
        <f>SUM(I441)</f>
        <v>8500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20756.68</v>
      </c>
      <c r="G13" s="18">
        <v>1591.36</v>
      </c>
      <c r="H13" s="18">
        <v>16464.55</v>
      </c>
      <c r="I13" s="18"/>
      <c r="J13" s="67">
        <f>SUM(I442)</f>
        <v>307352.39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39.799999999999997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173825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251941.21000000002</v>
      </c>
      <c r="G19" s="41">
        <f>SUM(G9:G18)</f>
        <v>8661.4</v>
      </c>
      <c r="H19" s="41">
        <f>SUM(H9:H18)</f>
        <v>16464.55</v>
      </c>
      <c r="I19" s="41">
        <f>SUM(I9:I18)</f>
        <v>0</v>
      </c>
      <c r="J19" s="41">
        <f>SUM(J9:J18)</f>
        <v>315852.39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11945.03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3000</v>
      </c>
      <c r="G23" s="18"/>
      <c r="H23" s="18"/>
      <c r="I23" s="18"/>
      <c r="J23" s="67">
        <f>SUM(I449)</f>
        <v>8500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6246.99</v>
      </c>
      <c r="G24" s="18">
        <v>4917.6000000000004</v>
      </c>
      <c r="H24" s="18">
        <v>835.89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200+6326.27</f>
        <v>6526.27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7000</v>
      </c>
      <c r="G30" s="18"/>
      <c r="H30" s="18">
        <v>3683.63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22773.260000000002</v>
      </c>
      <c r="G32" s="41">
        <f>SUM(G22:G31)</f>
        <v>4917.6000000000004</v>
      </c>
      <c r="H32" s="41">
        <f>SUM(H22:H31)</f>
        <v>16464.55</v>
      </c>
      <c r="I32" s="41">
        <f>SUM(I22:I31)</f>
        <v>0</v>
      </c>
      <c r="J32" s="41">
        <f>SUM(J22:J31)</f>
        <v>8500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36355.949999999997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3743.8</v>
      </c>
      <c r="H48" s="18"/>
      <c r="I48" s="18"/>
      <c r="J48" s="13">
        <f>SUM(I459)</f>
        <v>307352.39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192812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229167.95</v>
      </c>
      <c r="G51" s="41">
        <f>SUM(G35:G50)</f>
        <v>3743.8</v>
      </c>
      <c r="H51" s="41">
        <f>SUM(H35:H50)</f>
        <v>0</v>
      </c>
      <c r="I51" s="41">
        <f>SUM(I35:I50)</f>
        <v>0</v>
      </c>
      <c r="J51" s="41">
        <f>SUM(J35:J50)</f>
        <v>307352.39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251941.21000000002</v>
      </c>
      <c r="G52" s="41">
        <f>G51+G32</f>
        <v>8661.4000000000015</v>
      </c>
      <c r="H52" s="41">
        <f>H51+H32</f>
        <v>16464.55</v>
      </c>
      <c r="I52" s="41">
        <f>I51+I32</f>
        <v>0</v>
      </c>
      <c r="J52" s="41">
        <f>J51+J32</f>
        <v>315852.39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1429393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1429393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158391.69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158391.69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4251.33</v>
      </c>
      <c r="G96" s="18"/>
      <c r="H96" s="18"/>
      <c r="I96" s="18"/>
      <c r="J96" s="18">
        <v>2019.66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23333.73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7000</v>
      </c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2939.16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72.930000000000007</v>
      </c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96301.34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7517.84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682.52</v>
      </c>
      <c r="G110" s="18"/>
      <c r="H110" s="18"/>
      <c r="I110" s="18"/>
      <c r="J110" s="18">
        <v>1540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115825.95999999999</v>
      </c>
      <c r="G111" s="41">
        <f>SUM(G96:G110)</f>
        <v>23333.73</v>
      </c>
      <c r="H111" s="41">
        <f>SUM(H96:H110)</f>
        <v>2939.16</v>
      </c>
      <c r="I111" s="41">
        <f>SUM(I96:I110)</f>
        <v>0</v>
      </c>
      <c r="J111" s="41">
        <f>SUM(J96:J110)</f>
        <v>3559.66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1703610.65</v>
      </c>
      <c r="G112" s="41">
        <f>G60+G111</f>
        <v>23333.73</v>
      </c>
      <c r="H112" s="41">
        <f>H60+H79+H94+H111</f>
        <v>2939.16</v>
      </c>
      <c r="I112" s="41">
        <f>I60+I111</f>
        <v>0</v>
      </c>
      <c r="J112" s="41">
        <f>J60+J111</f>
        <v>3559.66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1083913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222405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1306318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76251.37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2494.9499999999998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872.34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78746.319999999992</v>
      </c>
      <c r="G136" s="41">
        <f>SUM(G123:G135)</f>
        <v>872.34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1385064.32</v>
      </c>
      <c r="G140" s="41">
        <f>G121+SUM(G136:G137)</f>
        <v>872.34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27651.34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20564.11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26095.22+6551.91</f>
        <v>32647.13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36923.160000000003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53435.37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5291.1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53435.37</v>
      </c>
      <c r="G162" s="41">
        <f>SUM(G150:G161)</f>
        <v>37938.230000000003</v>
      </c>
      <c r="H162" s="41">
        <f>SUM(H150:H161)</f>
        <v>85138.61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6438.48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59873.850000000006</v>
      </c>
      <c r="G169" s="41">
        <f>G147+G162+SUM(G163:G168)</f>
        <v>37938.230000000003</v>
      </c>
      <c r="H169" s="41">
        <f>H147+H162+SUM(H163:H168)</f>
        <v>85138.61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41000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41000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41000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3148548.82</v>
      </c>
      <c r="G193" s="47">
        <f>G112+G140+G169+G192</f>
        <v>62144.3</v>
      </c>
      <c r="H193" s="47">
        <f>H112+H140+H169+H192</f>
        <v>88077.77</v>
      </c>
      <c r="I193" s="47">
        <f>I112+I140+I169+I192</f>
        <v>0</v>
      </c>
      <c r="J193" s="47">
        <f>J112+J140+J192</f>
        <v>44559.66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322722.34000000003</v>
      </c>
      <c r="G197" s="18">
        <v>157041.13999999998</v>
      </c>
      <c r="H197" s="18">
        <v>2465.86</v>
      </c>
      <c r="I197" s="18">
        <v>25883.53</v>
      </c>
      <c r="J197" s="18">
        <v>18796.29</v>
      </c>
      <c r="K197" s="18">
        <v>375</v>
      </c>
      <c r="L197" s="19">
        <f>SUM(F197:K197)</f>
        <v>527284.16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94199.25</v>
      </c>
      <c r="G198" s="18">
        <v>32669.79</v>
      </c>
      <c r="H198" s="18"/>
      <c r="I198" s="18">
        <v>602.76</v>
      </c>
      <c r="J198" s="18">
        <v>224.60999999999999</v>
      </c>
      <c r="K198" s="18"/>
      <c r="L198" s="19">
        <f>SUM(F198:K198)</f>
        <v>127696.41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3908.94</v>
      </c>
      <c r="G200" s="18">
        <v>741.68</v>
      </c>
      <c r="H200" s="18">
        <v>318.8</v>
      </c>
      <c r="I200" s="18">
        <v>0</v>
      </c>
      <c r="J200" s="18"/>
      <c r="K200" s="18">
        <v>0</v>
      </c>
      <c r="L200" s="19">
        <f>SUM(F200:K200)</f>
        <v>4969.42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47151.43</v>
      </c>
      <c r="G202" s="18">
        <v>8365.75</v>
      </c>
      <c r="H202" s="18">
        <v>132225.23000000001</v>
      </c>
      <c r="I202" s="18">
        <v>2500.62</v>
      </c>
      <c r="J202" s="18">
        <v>216.98000000000002</v>
      </c>
      <c r="K202" s="18">
        <v>329</v>
      </c>
      <c r="L202" s="19">
        <f t="shared" ref="L202:L208" si="0">SUM(F202:K202)</f>
        <v>190789.01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24378.1</v>
      </c>
      <c r="G203" s="18">
        <v>2063.62</v>
      </c>
      <c r="H203" s="18">
        <v>5997</v>
      </c>
      <c r="I203" s="18">
        <v>1284.04</v>
      </c>
      <c r="J203" s="18">
        <v>4243.3999999999996</v>
      </c>
      <c r="K203" s="18"/>
      <c r="L203" s="19">
        <f t="shared" si="0"/>
        <v>37966.159999999996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2154.7919704228284</v>
      </c>
      <c r="G204" s="18">
        <v>179.27869193917934</v>
      </c>
      <c r="H204" s="18">
        <v>76187.983258696098</v>
      </c>
      <c r="I204" s="18">
        <v>645.8348521141429</v>
      </c>
      <c r="J204" s="18"/>
      <c r="K204" s="18">
        <v>2464.4009190793586</v>
      </c>
      <c r="L204" s="19">
        <f t="shared" si="0"/>
        <v>81632.289692251608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82171.03</v>
      </c>
      <c r="G205" s="18">
        <v>35940.01</v>
      </c>
      <c r="H205" s="18">
        <v>3363.18</v>
      </c>
      <c r="I205" s="18">
        <v>2227.85</v>
      </c>
      <c r="J205" s="18">
        <v>383.71000000000004</v>
      </c>
      <c r="K205" s="18">
        <v>2522.46</v>
      </c>
      <c r="L205" s="19">
        <f t="shared" si="0"/>
        <v>126608.24000000002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60036.1</v>
      </c>
      <c r="G207" s="18">
        <v>28511.570000000003</v>
      </c>
      <c r="H207" s="18">
        <v>31945.940000000002</v>
      </c>
      <c r="I207" s="18">
        <v>57063.659999999989</v>
      </c>
      <c r="J207" s="18">
        <v>4105.63</v>
      </c>
      <c r="K207" s="18">
        <v>0</v>
      </c>
      <c r="L207" s="19">
        <f t="shared" si="0"/>
        <v>181662.9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110689.32662301477</v>
      </c>
      <c r="I208" s="18">
        <v>5824.0014198941217</v>
      </c>
      <c r="J208" s="18"/>
      <c r="K208" s="18"/>
      <c r="L208" s="19">
        <f t="shared" si="0"/>
        <v>116513.32804290889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636721.98197042278</v>
      </c>
      <c r="G211" s="41">
        <f t="shared" si="1"/>
        <v>265512.83869193913</v>
      </c>
      <c r="H211" s="41">
        <f t="shared" si="1"/>
        <v>363193.31988171086</v>
      </c>
      <c r="I211" s="41">
        <f t="shared" si="1"/>
        <v>96032.296272008258</v>
      </c>
      <c r="J211" s="41">
        <f t="shared" si="1"/>
        <v>27970.62</v>
      </c>
      <c r="K211" s="41">
        <f t="shared" si="1"/>
        <v>5690.8609190793586</v>
      </c>
      <c r="L211" s="41">
        <f t="shared" si="1"/>
        <v>1395121.9177351606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292939</v>
      </c>
      <c r="I215" s="18"/>
      <c r="J215" s="18"/>
      <c r="K215" s="18"/>
      <c r="L215" s="19">
        <f>SUM(F215:K215)</f>
        <v>292939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2190.86</v>
      </c>
      <c r="I220" s="18"/>
      <c r="J220" s="18"/>
      <c r="K220" s="18"/>
      <c r="L220" s="19">
        <f t="shared" ref="L220:L226" si="2">SUM(F220:K220)</f>
        <v>2190.86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380.13695063528434</v>
      </c>
      <c r="G222" s="18">
        <v>31.627394292855655</v>
      </c>
      <c r="H222" s="18">
        <v>13440.679206415331</v>
      </c>
      <c r="I222" s="18">
        <v>113.93475317642158</v>
      </c>
      <c r="J222" s="18"/>
      <c r="K222" s="18">
        <v>434.75651635076025</v>
      </c>
      <c r="L222" s="19">
        <f t="shared" si="2"/>
        <v>14401.134820870653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27814.067706882142</v>
      </c>
      <c r="I226" s="18">
        <v>1152.8316110337144</v>
      </c>
      <c r="J226" s="18"/>
      <c r="K226" s="18"/>
      <c r="L226" s="19">
        <f t="shared" si="2"/>
        <v>28966.899317915857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380.13695063528434</v>
      </c>
      <c r="G229" s="41">
        <f>SUM(G215:G228)</f>
        <v>31.627394292855655</v>
      </c>
      <c r="H229" s="41">
        <f>SUM(H215:H228)</f>
        <v>336384.60691329744</v>
      </c>
      <c r="I229" s="41">
        <f>SUM(I215:I228)</f>
        <v>1266.7663642101359</v>
      </c>
      <c r="J229" s="41">
        <f>SUM(J215:J228)</f>
        <v>0</v>
      </c>
      <c r="K229" s="41">
        <f t="shared" si="3"/>
        <v>434.75651635076025</v>
      </c>
      <c r="L229" s="41">
        <f t="shared" si="3"/>
        <v>338497.89413878648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847294.2</v>
      </c>
      <c r="I233" s="18"/>
      <c r="J233" s="18"/>
      <c r="K233" s="18"/>
      <c r="L233" s="19">
        <f>SUM(F233:K233)</f>
        <v>847294.2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54130</v>
      </c>
      <c r="G234" s="18">
        <v>27810.880000000005</v>
      </c>
      <c r="H234" s="18">
        <v>129460.78</v>
      </c>
      <c r="I234" s="18">
        <v>3297.07</v>
      </c>
      <c r="J234" s="18"/>
      <c r="K234" s="18">
        <v>0</v>
      </c>
      <c r="L234" s="19">
        <f>SUM(F234:K234)</f>
        <v>214698.73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2103.12</v>
      </c>
      <c r="I236" s="18"/>
      <c r="J236" s="18"/>
      <c r="K236" s="18"/>
      <c r="L236" s="19">
        <f>SUM(F236:K236)</f>
        <v>2103.12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6227.23</v>
      </c>
      <c r="I238" s="18"/>
      <c r="J238" s="18"/>
      <c r="K238" s="18"/>
      <c r="L238" s="19">
        <f t="shared" ref="L238:L244" si="4">SUM(F238:K238)</f>
        <v>6227.23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1040.071078941887</v>
      </c>
      <c r="G240" s="18">
        <v>86.533913767964989</v>
      </c>
      <c r="H240" s="18">
        <v>36774.277534888555</v>
      </c>
      <c r="I240" s="18">
        <v>311.73039470943547</v>
      </c>
      <c r="J240" s="18"/>
      <c r="K240" s="18">
        <v>1189.5125645698811</v>
      </c>
      <c r="L240" s="19">
        <f t="shared" si="4"/>
        <v>39402.125486877718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80982.85567010309</v>
      </c>
      <c r="I244" s="18">
        <v>3154.1969690721653</v>
      </c>
      <c r="J244" s="18"/>
      <c r="K244" s="18"/>
      <c r="L244" s="19">
        <f t="shared" si="4"/>
        <v>84137.05263917525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55170.071078941888</v>
      </c>
      <c r="G247" s="41">
        <f t="shared" si="5"/>
        <v>27897.41391376797</v>
      </c>
      <c r="H247" s="41">
        <f t="shared" si="5"/>
        <v>1102842.4632049915</v>
      </c>
      <c r="I247" s="41">
        <f t="shared" si="5"/>
        <v>6762.9973637816011</v>
      </c>
      <c r="J247" s="41">
        <f t="shared" si="5"/>
        <v>0</v>
      </c>
      <c r="K247" s="41">
        <f t="shared" si="5"/>
        <v>1189.5125645698811</v>
      </c>
      <c r="L247" s="41">
        <f t="shared" si="5"/>
        <v>1193862.458126053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2500</v>
      </c>
      <c r="G253" s="18">
        <v>208.96</v>
      </c>
      <c r="H253" s="18">
        <v>1525.05</v>
      </c>
      <c r="I253" s="18">
        <v>1811.03</v>
      </c>
      <c r="J253" s="18"/>
      <c r="K253" s="18">
        <v>400</v>
      </c>
      <c r="L253" s="19">
        <f t="shared" si="6"/>
        <v>6445.04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84.32</v>
      </c>
      <c r="I255" s="18"/>
      <c r="J255" s="18"/>
      <c r="K255" s="18"/>
      <c r="L255" s="19">
        <f t="shared" si="6"/>
        <v>84.32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2500</v>
      </c>
      <c r="G256" s="41">
        <f t="shared" si="7"/>
        <v>208.96</v>
      </c>
      <c r="H256" s="41">
        <f t="shared" si="7"/>
        <v>1609.37</v>
      </c>
      <c r="I256" s="41">
        <f t="shared" si="7"/>
        <v>1811.03</v>
      </c>
      <c r="J256" s="41">
        <f t="shared" si="7"/>
        <v>0</v>
      </c>
      <c r="K256" s="41">
        <f t="shared" si="7"/>
        <v>400</v>
      </c>
      <c r="L256" s="41">
        <f>SUM(F256:K256)</f>
        <v>6529.36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694772.19</v>
      </c>
      <c r="G257" s="41">
        <f t="shared" si="8"/>
        <v>293650.83999999997</v>
      </c>
      <c r="H257" s="41">
        <f t="shared" si="8"/>
        <v>1804029.76</v>
      </c>
      <c r="I257" s="41">
        <f t="shared" si="8"/>
        <v>105873.09</v>
      </c>
      <c r="J257" s="41">
        <f t="shared" si="8"/>
        <v>27970.62</v>
      </c>
      <c r="K257" s="41">
        <f t="shared" si="8"/>
        <v>7715.13</v>
      </c>
      <c r="L257" s="41">
        <f t="shared" si="8"/>
        <v>2934011.63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170000</v>
      </c>
      <c r="L260" s="19">
        <f>SUM(F260:K260)</f>
        <v>170000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11390</v>
      </c>
      <c r="L261" s="19">
        <f>SUM(F261:K261)</f>
        <v>11390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41000</v>
      </c>
      <c r="L266" s="19">
        <f t="shared" si="9"/>
        <v>41000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222390</v>
      </c>
      <c r="L270" s="41">
        <f t="shared" si="9"/>
        <v>222390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694772.19</v>
      </c>
      <c r="G271" s="42">
        <f t="shared" si="11"/>
        <v>293650.83999999997</v>
      </c>
      <c r="H271" s="42">
        <f t="shared" si="11"/>
        <v>1804029.76</v>
      </c>
      <c r="I271" s="42">
        <f t="shared" si="11"/>
        <v>105873.09</v>
      </c>
      <c r="J271" s="42">
        <f t="shared" si="11"/>
        <v>27970.62</v>
      </c>
      <c r="K271" s="42">
        <f t="shared" si="11"/>
        <v>230105.13</v>
      </c>
      <c r="L271" s="42">
        <f t="shared" si="11"/>
        <v>3156401.63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43711.14</v>
      </c>
      <c r="G276" s="18">
        <v>3666.56</v>
      </c>
      <c r="H276" s="18"/>
      <c r="I276" s="18">
        <v>2273.91</v>
      </c>
      <c r="J276" s="18">
        <v>758</v>
      </c>
      <c r="K276" s="18"/>
      <c r="L276" s="19">
        <f>SUM(F276:K276)</f>
        <v>50409.61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34769.410000000003</v>
      </c>
      <c r="G277" s="18"/>
      <c r="H277" s="18"/>
      <c r="I277" s="18"/>
      <c r="J277" s="18"/>
      <c r="K277" s="18"/>
      <c r="L277" s="19">
        <f>SUM(F277:K277)</f>
        <v>34769.410000000003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462.62</v>
      </c>
      <c r="I281" s="18"/>
      <c r="J281" s="18"/>
      <c r="K281" s="18"/>
      <c r="L281" s="19">
        <f t="shared" ref="L281:L287" si="12">SUM(F281:K281)</f>
        <v>462.62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>
        <v>745</v>
      </c>
      <c r="J282" s="18"/>
      <c r="K282" s="18"/>
      <c r="L282" s="19">
        <f t="shared" si="12"/>
        <v>745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78480.55</v>
      </c>
      <c r="G290" s="42">
        <f t="shared" si="13"/>
        <v>3666.56</v>
      </c>
      <c r="H290" s="42">
        <f t="shared" si="13"/>
        <v>462.62</v>
      </c>
      <c r="I290" s="42">
        <f t="shared" si="13"/>
        <v>3018.91</v>
      </c>
      <c r="J290" s="42">
        <f t="shared" si="13"/>
        <v>758</v>
      </c>
      <c r="K290" s="42">
        <f t="shared" si="13"/>
        <v>0</v>
      </c>
      <c r="L290" s="41">
        <f t="shared" si="13"/>
        <v>86386.64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78480.55</v>
      </c>
      <c r="G338" s="41">
        <f t="shared" si="20"/>
        <v>3666.56</v>
      </c>
      <c r="H338" s="41">
        <f t="shared" si="20"/>
        <v>462.62</v>
      </c>
      <c r="I338" s="41">
        <f t="shared" si="20"/>
        <v>3018.91</v>
      </c>
      <c r="J338" s="41">
        <f t="shared" si="20"/>
        <v>758</v>
      </c>
      <c r="K338" s="41">
        <f t="shared" si="20"/>
        <v>0</v>
      </c>
      <c r="L338" s="41">
        <f t="shared" si="20"/>
        <v>86386.64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1691.13</v>
      </c>
      <c r="L350" s="19">
        <f t="shared" si="21"/>
        <v>1691.13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1691.13</v>
      </c>
      <c r="L351" s="41">
        <f>SUM(L341:L350)</f>
        <v>1691.13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78480.55</v>
      </c>
      <c r="G352" s="41">
        <f>G338</f>
        <v>3666.56</v>
      </c>
      <c r="H352" s="41">
        <f>H338</f>
        <v>462.62</v>
      </c>
      <c r="I352" s="41">
        <f>I338</f>
        <v>3018.91</v>
      </c>
      <c r="J352" s="41">
        <f>J338</f>
        <v>758</v>
      </c>
      <c r="K352" s="47">
        <f>K338+K351</f>
        <v>1691.13</v>
      </c>
      <c r="L352" s="41">
        <f>L338+L351</f>
        <v>88077.77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56765</v>
      </c>
      <c r="I358" s="18">
        <v>5291.1</v>
      </c>
      <c r="J358" s="18"/>
      <c r="K358" s="18"/>
      <c r="L358" s="13">
        <f>SUM(F358:K358)</f>
        <v>62056.1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56765</v>
      </c>
      <c r="I362" s="47">
        <f t="shared" si="22"/>
        <v>5291.1</v>
      </c>
      <c r="J362" s="47">
        <f t="shared" si="22"/>
        <v>0</v>
      </c>
      <c r="K362" s="47">
        <f t="shared" si="22"/>
        <v>0</v>
      </c>
      <c r="L362" s="47">
        <f t="shared" si="22"/>
        <v>62056.1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5291.1</v>
      </c>
      <c r="G367" s="18"/>
      <c r="H367" s="18"/>
      <c r="I367" s="56">
        <f>SUM(F367:H367)</f>
        <v>5291.1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5291.1</v>
      </c>
      <c r="G369" s="47">
        <f>SUM(G367:G368)</f>
        <v>0</v>
      </c>
      <c r="H369" s="47">
        <f>SUM(H367:H368)</f>
        <v>0</v>
      </c>
      <c r="I369" s="47">
        <f>SUM(I367:I368)</f>
        <v>5291.1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35000</v>
      </c>
      <c r="H389" s="18">
        <v>541.47</v>
      </c>
      <c r="I389" s="18"/>
      <c r="J389" s="24" t="s">
        <v>288</v>
      </c>
      <c r="K389" s="24" t="s">
        <v>288</v>
      </c>
      <c r="L389" s="56">
        <f t="shared" si="25"/>
        <v>35541.47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6000</v>
      </c>
      <c r="H392" s="18">
        <v>260.64999999999998</v>
      </c>
      <c r="I392" s="18"/>
      <c r="J392" s="24" t="s">
        <v>288</v>
      </c>
      <c r="K392" s="24" t="s">
        <v>288</v>
      </c>
      <c r="L392" s="56">
        <f t="shared" si="25"/>
        <v>6260.65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41000</v>
      </c>
      <c r="H393" s="139">
        <f>SUM(H387:H392)</f>
        <v>802.12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41802.120000000003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1040.81</v>
      </c>
      <c r="I398" s="18"/>
      <c r="J398" s="24" t="s">
        <v>288</v>
      </c>
      <c r="K398" s="24" t="s">
        <v>288</v>
      </c>
      <c r="L398" s="56">
        <f t="shared" si="26"/>
        <v>1040.81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108.24</v>
      </c>
      <c r="I399" s="18"/>
      <c r="J399" s="24" t="s">
        <v>288</v>
      </c>
      <c r="K399" s="24" t="s">
        <v>288</v>
      </c>
      <c r="L399" s="56">
        <f t="shared" si="26"/>
        <v>108.24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68.489999999999995</v>
      </c>
      <c r="I400" s="18">
        <v>1540</v>
      </c>
      <c r="J400" s="24" t="s">
        <v>288</v>
      </c>
      <c r="K400" s="24" t="s">
        <v>288</v>
      </c>
      <c r="L400" s="56">
        <f t="shared" si="26"/>
        <v>1608.49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1217.54</v>
      </c>
      <c r="I401" s="47">
        <f>SUM(I395:I400)</f>
        <v>1540</v>
      </c>
      <c r="J401" s="45" t="s">
        <v>288</v>
      </c>
      <c r="K401" s="45" t="s">
        <v>288</v>
      </c>
      <c r="L401" s="47">
        <f>SUM(L395:L400)</f>
        <v>2757.54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41000</v>
      </c>
      <c r="H408" s="47">
        <f>H393+H401+H407</f>
        <v>2019.6599999999999</v>
      </c>
      <c r="I408" s="47">
        <f>I393+I401+I407</f>
        <v>1540</v>
      </c>
      <c r="J408" s="24" t="s">
        <v>288</v>
      </c>
      <c r="K408" s="24" t="s">
        <v>288</v>
      </c>
      <c r="L408" s="47">
        <f>L393+L401+L407</f>
        <v>44559.66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8500</v>
      </c>
      <c r="I415" s="18"/>
      <c r="J415" s="18"/>
      <c r="K415" s="18"/>
      <c r="L415" s="56">
        <f t="shared" si="27"/>
        <v>8500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8500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8500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408</v>
      </c>
      <c r="I426" s="18"/>
      <c r="J426" s="18"/>
      <c r="K426" s="18"/>
      <c r="L426" s="56">
        <f t="shared" si="29"/>
        <v>408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408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408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8908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8908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8500</v>
      </c>
      <c r="G441" s="18"/>
      <c r="H441" s="18"/>
      <c r="I441" s="56">
        <f t="shared" si="33"/>
        <v>8500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123761.68</v>
      </c>
      <c r="G442" s="18">
        <v>183590.71</v>
      </c>
      <c r="H442" s="18"/>
      <c r="I442" s="56">
        <f t="shared" si="33"/>
        <v>307352.39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132261.68</v>
      </c>
      <c r="G446" s="13">
        <f>SUM(G439:G445)</f>
        <v>183590.71</v>
      </c>
      <c r="H446" s="13">
        <f>SUM(H439:H445)</f>
        <v>0</v>
      </c>
      <c r="I446" s="13">
        <f>SUM(I439:I445)</f>
        <v>315852.39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8500</v>
      </c>
      <c r="G449" s="18"/>
      <c r="H449" s="18"/>
      <c r="I449" s="56">
        <f>SUM(F449:H449)</f>
        <v>8500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8500</v>
      </c>
      <c r="G452" s="72">
        <f>SUM(G448:G451)</f>
        <v>0</v>
      </c>
      <c r="H452" s="72">
        <f>SUM(H448:H451)</f>
        <v>0</v>
      </c>
      <c r="I452" s="72">
        <f>SUM(I448:I451)</f>
        <v>8500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123761.68</v>
      </c>
      <c r="G459" s="18">
        <v>183590.71</v>
      </c>
      <c r="H459" s="18"/>
      <c r="I459" s="56">
        <f t="shared" si="34"/>
        <v>307352.39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123761.68</v>
      </c>
      <c r="G460" s="83">
        <f>SUM(G454:G459)</f>
        <v>183590.71</v>
      </c>
      <c r="H460" s="83">
        <f>SUM(H454:H459)</f>
        <v>0</v>
      </c>
      <c r="I460" s="83">
        <f>SUM(I454:I459)</f>
        <v>307352.39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132261.68</v>
      </c>
      <c r="G461" s="42">
        <f>G452+G460</f>
        <v>183590.71</v>
      </c>
      <c r="H461" s="42">
        <f>H452+H460</f>
        <v>0</v>
      </c>
      <c r="I461" s="42">
        <f>I452+I460</f>
        <v>315852.39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237020.76</v>
      </c>
      <c r="G465" s="18">
        <v>3655.6</v>
      </c>
      <c r="H465" s="18">
        <v>0</v>
      </c>
      <c r="I465" s="18"/>
      <c r="J465" s="18">
        <v>271700.73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3148548.82</v>
      </c>
      <c r="G468" s="18">
        <v>62144.3</v>
      </c>
      <c r="H468" s="18">
        <v>88077.77</v>
      </c>
      <c r="I468" s="18"/>
      <c r="J468" s="18">
        <v>44559.66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3148548.82</v>
      </c>
      <c r="G470" s="53">
        <f>SUM(G468:G469)</f>
        <v>62144.3</v>
      </c>
      <c r="H470" s="53">
        <f>SUM(H468:H469)</f>
        <v>88077.77</v>
      </c>
      <c r="I470" s="53">
        <f>SUM(I468:I469)</f>
        <v>0</v>
      </c>
      <c r="J470" s="53">
        <f>SUM(J468:J469)</f>
        <v>44559.66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3156401.63</v>
      </c>
      <c r="G472" s="18">
        <v>62056.1</v>
      </c>
      <c r="H472" s="18">
        <v>88077.77</v>
      </c>
      <c r="I472" s="18"/>
      <c r="J472" s="18">
        <v>8908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3156401.63</v>
      </c>
      <c r="G474" s="53">
        <f>SUM(G472:G473)</f>
        <v>62056.1</v>
      </c>
      <c r="H474" s="53">
        <f>SUM(H472:H473)</f>
        <v>88077.77</v>
      </c>
      <c r="I474" s="53">
        <f>SUM(I472:I473)</f>
        <v>0</v>
      </c>
      <c r="J474" s="53">
        <f>SUM(J472:J473)</f>
        <v>8908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229167.95000000019</v>
      </c>
      <c r="G476" s="53">
        <f>(G465+G470)- G474</f>
        <v>3743.8000000000102</v>
      </c>
      <c r="H476" s="53">
        <f>(H465+H470)- H474</f>
        <v>0</v>
      </c>
      <c r="I476" s="53">
        <f>(I465+I470)- I474</f>
        <v>0</v>
      </c>
      <c r="J476" s="53">
        <f>(J465+J470)- J474</f>
        <v>307352.39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2600000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4.38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340000</v>
      </c>
      <c r="G495" s="18"/>
      <c r="H495" s="18"/>
      <c r="I495" s="18"/>
      <c r="J495" s="18"/>
      <c r="K495" s="53">
        <f>SUM(F495:J495)</f>
        <v>340000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170000</v>
      </c>
      <c r="G497" s="18"/>
      <c r="H497" s="18"/>
      <c r="I497" s="18"/>
      <c r="J497" s="18"/>
      <c r="K497" s="53">
        <f t="shared" si="35"/>
        <v>170000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170000</v>
      </c>
      <c r="G498" s="204"/>
      <c r="H498" s="204"/>
      <c r="I498" s="204"/>
      <c r="J498" s="204"/>
      <c r="K498" s="205">
        <f t="shared" si="35"/>
        <v>170000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3825</v>
      </c>
      <c r="G499" s="18"/>
      <c r="H499" s="18"/>
      <c r="I499" s="18"/>
      <c r="J499" s="18"/>
      <c r="K499" s="53">
        <f t="shared" si="35"/>
        <v>3825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173825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173825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170000</v>
      </c>
      <c r="G501" s="204"/>
      <c r="H501" s="204"/>
      <c r="I501" s="204"/>
      <c r="J501" s="204"/>
      <c r="K501" s="205">
        <f t="shared" si="35"/>
        <v>170000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3825</v>
      </c>
      <c r="G502" s="18"/>
      <c r="H502" s="18"/>
      <c r="I502" s="18"/>
      <c r="J502" s="18"/>
      <c r="K502" s="53">
        <f t="shared" si="35"/>
        <v>3825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173825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173825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11917.25</v>
      </c>
      <c r="G507" s="144">
        <v>670.82</v>
      </c>
      <c r="H507" s="144"/>
      <c r="I507" s="144">
        <v>12588.07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33000</v>
      </c>
      <c r="G511" s="24" t="s">
        <v>288</v>
      </c>
      <c r="H511" s="18">
        <v>33000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2864439</v>
      </c>
      <c r="G513" s="24" t="s">
        <v>288</v>
      </c>
      <c r="H513" s="18">
        <v>2785560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53601</v>
      </c>
      <c r="G514" s="24" t="s">
        <v>288</v>
      </c>
      <c r="H514" s="18">
        <v>50006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2951040</v>
      </c>
      <c r="G517" s="42">
        <f>SUM(G511:G516)</f>
        <v>0</v>
      </c>
      <c r="H517" s="42">
        <f>SUM(H511:H516)</f>
        <v>2868566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132877.6</v>
      </c>
      <c r="G521" s="18">
        <v>33411.47</v>
      </c>
      <c r="H521" s="18">
        <v>318.8</v>
      </c>
      <c r="I521" s="18">
        <v>602.76</v>
      </c>
      <c r="J521" s="18">
        <v>224.61</v>
      </c>
      <c r="K521" s="18"/>
      <c r="L521" s="88">
        <f>SUM(F521:K521)</f>
        <v>167435.24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54130</v>
      </c>
      <c r="G523" s="18">
        <v>27810.880000000001</v>
      </c>
      <c r="H523" s="18">
        <v>131563.9</v>
      </c>
      <c r="I523" s="18">
        <v>3297.07</v>
      </c>
      <c r="J523" s="18"/>
      <c r="K523" s="18"/>
      <c r="L523" s="88">
        <f>SUM(F523:K523)</f>
        <v>216801.85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187007.6</v>
      </c>
      <c r="G524" s="108">
        <f t="shared" ref="G524:L524" si="36">SUM(G521:G523)</f>
        <v>61222.350000000006</v>
      </c>
      <c r="H524" s="108">
        <f t="shared" si="36"/>
        <v>131882.69999999998</v>
      </c>
      <c r="I524" s="108">
        <f t="shared" si="36"/>
        <v>3899.83</v>
      </c>
      <c r="J524" s="108">
        <f t="shared" si="36"/>
        <v>224.61</v>
      </c>
      <c r="K524" s="108">
        <f t="shared" si="36"/>
        <v>0</v>
      </c>
      <c r="L524" s="89">
        <f t="shared" si="36"/>
        <v>384237.08999999997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135690.10999999999</v>
      </c>
      <c r="I526" s="18"/>
      <c r="J526" s="18">
        <v>118.39</v>
      </c>
      <c r="K526" s="18"/>
      <c r="L526" s="88">
        <f>SUM(F526:K526)</f>
        <v>135808.5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2190.86</v>
      </c>
      <c r="I527" s="18"/>
      <c r="J527" s="18"/>
      <c r="K527" s="18"/>
      <c r="L527" s="88">
        <f>SUM(F527:K527)</f>
        <v>2190.86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6227.23</v>
      </c>
      <c r="I528" s="18"/>
      <c r="J528" s="18"/>
      <c r="K528" s="18"/>
      <c r="L528" s="88">
        <f>SUM(F528:K528)</f>
        <v>6227.23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144108.19999999998</v>
      </c>
      <c r="I529" s="89">
        <f t="shared" si="37"/>
        <v>0</v>
      </c>
      <c r="J529" s="89">
        <f t="shared" si="37"/>
        <v>118.39</v>
      </c>
      <c r="K529" s="89">
        <f t="shared" si="37"/>
        <v>0</v>
      </c>
      <c r="L529" s="89">
        <f t="shared" si="37"/>
        <v>144226.59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13206.718925942245</v>
      </c>
      <c r="I531" s="18"/>
      <c r="J531" s="18"/>
      <c r="K531" s="18"/>
      <c r="L531" s="88">
        <f>SUM(F531:K531)</f>
        <v>13206.718925942245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828.52690877931286</v>
      </c>
      <c r="I532" s="18"/>
      <c r="J532" s="18"/>
      <c r="K532" s="18"/>
      <c r="L532" s="88">
        <f>SUM(F532:K532)</f>
        <v>828.52690877931286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9113.7959965724403</v>
      </c>
      <c r="I533" s="18"/>
      <c r="J533" s="18"/>
      <c r="K533" s="18"/>
      <c r="L533" s="88">
        <f>SUM(F533:K533)</f>
        <v>9113.7959965724403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23149.041831293998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23149.041831293998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4860</v>
      </c>
      <c r="I541" s="18"/>
      <c r="J541" s="18"/>
      <c r="K541" s="18"/>
      <c r="L541" s="88">
        <f>SUM(F541:K541)</f>
        <v>4860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7245</v>
      </c>
      <c r="I542" s="18"/>
      <c r="J542" s="18"/>
      <c r="K542" s="18"/>
      <c r="L542" s="88">
        <f>SUM(F542:K542)</f>
        <v>7245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24705</v>
      </c>
      <c r="I543" s="18"/>
      <c r="J543" s="18"/>
      <c r="K543" s="18"/>
      <c r="L543" s="88">
        <f>SUM(F543:K543)</f>
        <v>24705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36810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36810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187007.6</v>
      </c>
      <c r="G545" s="89">
        <f t="shared" ref="G545:L545" si="41">G524+G529+G534+G539+G544</f>
        <v>61222.350000000006</v>
      </c>
      <c r="H545" s="89">
        <f t="shared" si="41"/>
        <v>335949.94183129398</v>
      </c>
      <c r="I545" s="89">
        <f t="shared" si="41"/>
        <v>3899.83</v>
      </c>
      <c r="J545" s="89">
        <f t="shared" si="41"/>
        <v>343</v>
      </c>
      <c r="K545" s="89">
        <f t="shared" si="41"/>
        <v>0</v>
      </c>
      <c r="L545" s="89">
        <f t="shared" si="41"/>
        <v>588422.72183129389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167435.24</v>
      </c>
      <c r="G549" s="87">
        <f>L526</f>
        <v>135808.5</v>
      </c>
      <c r="H549" s="87">
        <f>L531</f>
        <v>13206.718925942245</v>
      </c>
      <c r="I549" s="87">
        <f>L536</f>
        <v>0</v>
      </c>
      <c r="J549" s="87">
        <f>L541</f>
        <v>4860</v>
      </c>
      <c r="K549" s="87">
        <f>SUM(F549:J549)</f>
        <v>321310.45892594225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2190.86</v>
      </c>
      <c r="H550" s="87">
        <f>L532</f>
        <v>828.52690877931286</v>
      </c>
      <c r="I550" s="87">
        <f>L537</f>
        <v>0</v>
      </c>
      <c r="J550" s="87">
        <f>L542</f>
        <v>7245</v>
      </c>
      <c r="K550" s="87">
        <f>SUM(F550:J550)</f>
        <v>10264.386908779314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216801.85</v>
      </c>
      <c r="G551" s="87">
        <f>L528</f>
        <v>6227.23</v>
      </c>
      <c r="H551" s="87">
        <f>L533</f>
        <v>9113.7959965724403</v>
      </c>
      <c r="I551" s="87">
        <f>L538</f>
        <v>0</v>
      </c>
      <c r="J551" s="87">
        <f>L543</f>
        <v>24705</v>
      </c>
      <c r="K551" s="87">
        <f>SUM(F551:J551)</f>
        <v>256847.87599657246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384237.08999999997</v>
      </c>
      <c r="G552" s="89">
        <f t="shared" si="42"/>
        <v>144226.59</v>
      </c>
      <c r="H552" s="89">
        <f t="shared" si="42"/>
        <v>23149.041831293998</v>
      </c>
      <c r="I552" s="89">
        <f t="shared" si="42"/>
        <v>0</v>
      </c>
      <c r="J552" s="89">
        <f t="shared" si="42"/>
        <v>36810</v>
      </c>
      <c r="K552" s="89">
        <f t="shared" si="42"/>
        <v>588422.72183129401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292939</v>
      </c>
      <c r="H575" s="18">
        <v>847294.2</v>
      </c>
      <c r="I575" s="87">
        <f>SUM(F575:H575)</f>
        <v>1140233.2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109737.08</v>
      </c>
      <c r="I591" s="18">
        <v>21721.9</v>
      </c>
      <c r="J591" s="18">
        <v>59432.05</v>
      </c>
      <c r="K591" s="104">
        <f t="shared" ref="K591:K597" si="48">SUM(H591:J591)</f>
        <v>190891.03000000003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4860</v>
      </c>
      <c r="I592" s="18">
        <v>7245</v>
      </c>
      <c r="J592" s="18">
        <v>24705</v>
      </c>
      <c r="K592" s="104">
        <f t="shared" si="48"/>
        <v>36810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1916.25</v>
      </c>
      <c r="I595" s="18"/>
      <c r="J595" s="18"/>
      <c r="K595" s="104">
        <f t="shared" si="48"/>
        <v>1916.25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116513.33</v>
      </c>
      <c r="I598" s="108">
        <f>SUM(I591:I597)</f>
        <v>28966.9</v>
      </c>
      <c r="J598" s="108">
        <f>SUM(J591:J597)</f>
        <v>84137.05</v>
      </c>
      <c r="K598" s="108">
        <f>SUM(K591:K597)</f>
        <v>229617.28000000003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28728.62</v>
      </c>
      <c r="I604" s="18"/>
      <c r="J604" s="18"/>
      <c r="K604" s="104">
        <f>SUM(H604:J604)</f>
        <v>28728.62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28728.62</v>
      </c>
      <c r="I605" s="108">
        <f>SUM(I602:I604)</f>
        <v>0</v>
      </c>
      <c r="J605" s="108">
        <f>SUM(J602:J604)</f>
        <v>0</v>
      </c>
      <c r="K605" s="108">
        <f>SUM(K602:K604)</f>
        <v>28728.62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2275.44+115.5+1518</f>
        <v>3908.94</v>
      </c>
      <c r="G611" s="18">
        <f>8.83+285.31+416.58+17.53+13.43</f>
        <v>741.68</v>
      </c>
      <c r="H611" s="18">
        <v>318.8</v>
      </c>
      <c r="I611" s="18"/>
      <c r="J611" s="18"/>
      <c r="K611" s="18"/>
      <c r="L611" s="88">
        <f>SUM(F611:K611)</f>
        <v>4969.42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2103.12</v>
      </c>
      <c r="I613" s="18"/>
      <c r="J613" s="18"/>
      <c r="K613" s="18"/>
      <c r="L613" s="88">
        <f>SUM(F613:K613)</f>
        <v>2103.12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3908.94</v>
      </c>
      <c r="G614" s="108">
        <f t="shared" si="49"/>
        <v>741.68</v>
      </c>
      <c r="H614" s="108">
        <f t="shared" si="49"/>
        <v>2421.92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7072.54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251941.21000000002</v>
      </c>
      <c r="H617" s="109">
        <f>SUM(F52)</f>
        <v>251941.21000000002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8661.4</v>
      </c>
      <c r="H618" s="109">
        <f>SUM(G52)</f>
        <v>8661.4000000000015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16464.55</v>
      </c>
      <c r="H619" s="109">
        <f>SUM(H52)</f>
        <v>16464.55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315852.39</v>
      </c>
      <c r="H621" s="109">
        <f>SUM(J52)</f>
        <v>315852.39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229167.95</v>
      </c>
      <c r="H622" s="109">
        <f>F476</f>
        <v>229167.95000000019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3743.8</v>
      </c>
      <c r="H623" s="109">
        <f>G476</f>
        <v>3743.8000000000102</v>
      </c>
      <c r="I623" s="121" t="s">
        <v>102</v>
      </c>
      <c r="J623" s="109">
        <f t="shared" si="50"/>
        <v>-1.0004441719502211E-11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307352.39</v>
      </c>
      <c r="H626" s="109">
        <f>J476</f>
        <v>307352.39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3148548.82</v>
      </c>
      <c r="H627" s="104">
        <f>SUM(F468)</f>
        <v>3148548.82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62144.3</v>
      </c>
      <c r="H628" s="104">
        <f>SUM(G468)</f>
        <v>62144.3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88077.77</v>
      </c>
      <c r="H629" s="104">
        <f>SUM(H468)</f>
        <v>88077.77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44559.66</v>
      </c>
      <c r="H631" s="104">
        <f>SUM(J468)</f>
        <v>44559.66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3156401.63</v>
      </c>
      <c r="H632" s="104">
        <f>SUM(F472)</f>
        <v>3156401.63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88077.77</v>
      </c>
      <c r="H633" s="104">
        <f>SUM(H472)</f>
        <v>88077.77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5291.1</v>
      </c>
      <c r="H634" s="104">
        <f>I369</f>
        <v>5291.1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62056.1</v>
      </c>
      <c r="H635" s="104">
        <f>SUM(G472)</f>
        <v>62056.1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44559.66</v>
      </c>
      <c r="H637" s="164">
        <f>SUM(J468)</f>
        <v>44559.66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8908</v>
      </c>
      <c r="H638" s="164">
        <f>SUM(J472)</f>
        <v>8908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132261.68</v>
      </c>
      <c r="H639" s="104">
        <f>SUM(F461)</f>
        <v>132261.68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183590.71</v>
      </c>
      <c r="H640" s="104">
        <f>SUM(G461)</f>
        <v>183590.71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315852.39</v>
      </c>
      <c r="H642" s="104">
        <f>SUM(I461)</f>
        <v>315852.39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2019.66</v>
      </c>
      <c r="H644" s="104">
        <f>H408</f>
        <v>2019.6599999999999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41000</v>
      </c>
      <c r="H645" s="104">
        <f>G408</f>
        <v>41000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44559.66</v>
      </c>
      <c r="H646" s="104">
        <f>L408</f>
        <v>44559.66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229617.28000000003</v>
      </c>
      <c r="H647" s="104">
        <f>L208+L226+L244</f>
        <v>229617.28000000003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28728.62</v>
      </c>
      <c r="H648" s="104">
        <f>(J257+J338)-(J255+J336)</f>
        <v>28728.62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116513.32804290889</v>
      </c>
      <c r="H649" s="104">
        <f>H598</f>
        <v>116513.33</v>
      </c>
      <c r="I649" s="140" t="s">
        <v>388</v>
      </c>
      <c r="J649" s="109">
        <f t="shared" si="50"/>
        <v>-1.9570911099435762E-3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28966.899317915857</v>
      </c>
      <c r="H650" s="104">
        <f>I598</f>
        <v>28966.9</v>
      </c>
      <c r="I650" s="140" t="s">
        <v>389</v>
      </c>
      <c r="J650" s="109">
        <f t="shared" si="50"/>
        <v>-6.8208414450054988E-4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84137.05263917525</v>
      </c>
      <c r="H651" s="104">
        <f>J598</f>
        <v>84137.05</v>
      </c>
      <c r="I651" s="140" t="s">
        <v>390</v>
      </c>
      <c r="J651" s="109">
        <f t="shared" si="50"/>
        <v>2.6391752471681684E-3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41000</v>
      </c>
      <c r="H655" s="104">
        <f>K266+K347</f>
        <v>41000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1543564.6577351606</v>
      </c>
      <c r="G660" s="19">
        <f>(L229+L309+L359)</f>
        <v>338497.89413878648</v>
      </c>
      <c r="H660" s="19">
        <f>(L247+L328+L360)</f>
        <v>1193862.458126053</v>
      </c>
      <c r="I660" s="19">
        <f>SUM(F660:H660)</f>
        <v>3075925.01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23333.73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23333.73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116513.32804290889</v>
      </c>
      <c r="G662" s="19">
        <f>(L226+L306)-(J226+J306)</f>
        <v>28966.899317915857</v>
      </c>
      <c r="H662" s="19">
        <f>(L244+L325)-(J244+J325)</f>
        <v>84137.05263917525</v>
      </c>
      <c r="I662" s="19">
        <f>SUM(F662:H662)</f>
        <v>229617.28000000003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33698.04</v>
      </c>
      <c r="G663" s="199">
        <f>SUM(G575:G587)+SUM(I602:I604)+L612</f>
        <v>292939</v>
      </c>
      <c r="H663" s="199">
        <f>SUM(H575:H587)+SUM(J602:J604)+L613</f>
        <v>849397.32</v>
      </c>
      <c r="I663" s="19">
        <f>SUM(F663:H663)</f>
        <v>1176034.3599999999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1370019.5596922517</v>
      </c>
      <c r="G664" s="19">
        <f>G660-SUM(G661:G663)</f>
        <v>16591.994820870634</v>
      </c>
      <c r="H664" s="19">
        <f>H660-SUM(H661:H663)</f>
        <v>260328.08548687783</v>
      </c>
      <c r="I664" s="19">
        <f>I660-SUM(I661:I663)</f>
        <v>1646939.64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115.75</v>
      </c>
      <c r="G665" s="248"/>
      <c r="H665" s="248"/>
      <c r="I665" s="19">
        <f>SUM(F665:H665)</f>
        <v>115.75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11836.02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14228.42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-16591.990000000002</v>
      </c>
      <c r="H669" s="18">
        <v>-260328.09</v>
      </c>
      <c r="I669" s="19">
        <f>SUM(F669:H669)</f>
        <v>-276920.08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11836.02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11836.02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Milan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366433.48000000004</v>
      </c>
      <c r="C9" s="229">
        <f>'DOE25'!G197+'DOE25'!G215+'DOE25'!G233+'DOE25'!G276+'DOE25'!G295+'DOE25'!G314</f>
        <v>160707.69999999998</v>
      </c>
    </row>
    <row r="10" spans="1:3" x14ac:dyDescent="0.2">
      <c r="A10" t="s">
        <v>778</v>
      </c>
      <c r="B10" s="240">
        <v>356547.68</v>
      </c>
      <c r="C10" s="240">
        <v>159874.29</v>
      </c>
    </row>
    <row r="11" spans="1:3" x14ac:dyDescent="0.2">
      <c r="A11" t="s">
        <v>779</v>
      </c>
      <c r="B11" s="240">
        <v>1602.03</v>
      </c>
      <c r="C11" s="240">
        <v>174.44</v>
      </c>
    </row>
    <row r="12" spans="1:3" x14ac:dyDescent="0.2">
      <c r="A12" t="s">
        <v>780</v>
      </c>
      <c r="B12" s="240">
        <v>8283.77</v>
      </c>
      <c r="C12" s="240">
        <v>658.97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366433.48000000004</v>
      </c>
      <c r="C13" s="231">
        <f>SUM(C10:C12)</f>
        <v>160707.70000000001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183098.66</v>
      </c>
      <c r="C18" s="229">
        <f>'DOE25'!G198+'DOE25'!G216+'DOE25'!G234+'DOE25'!G277+'DOE25'!G296+'DOE25'!G315</f>
        <v>60480.670000000006</v>
      </c>
    </row>
    <row r="19" spans="1:3" x14ac:dyDescent="0.2">
      <c r="A19" t="s">
        <v>778</v>
      </c>
      <c r="B19" s="240">
        <v>96548</v>
      </c>
      <c r="C19" s="240">
        <v>53187.44</v>
      </c>
    </row>
    <row r="20" spans="1:3" x14ac:dyDescent="0.2">
      <c r="A20" t="s">
        <v>779</v>
      </c>
      <c r="B20" s="240">
        <v>84757.4</v>
      </c>
      <c r="C20" s="240">
        <v>7148.66</v>
      </c>
    </row>
    <row r="21" spans="1:3" x14ac:dyDescent="0.2">
      <c r="A21" t="s">
        <v>780</v>
      </c>
      <c r="B21" s="240">
        <v>1793.26</v>
      </c>
      <c r="C21" s="240">
        <v>144.57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183098.66</v>
      </c>
      <c r="C22" s="231">
        <f>SUM(C19:C21)</f>
        <v>60480.670000000006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3908.94</v>
      </c>
      <c r="C36" s="235">
        <f>'DOE25'!G200+'DOE25'!G218+'DOE25'!G236+'DOE25'!G279+'DOE25'!G298+'DOE25'!G317</f>
        <v>741.68</v>
      </c>
    </row>
    <row r="37" spans="1:3" x14ac:dyDescent="0.2">
      <c r="A37" t="s">
        <v>778</v>
      </c>
      <c r="B37" s="240">
        <v>2275.44</v>
      </c>
      <c r="C37" s="240">
        <v>595.62</v>
      </c>
    </row>
    <row r="38" spans="1:3" x14ac:dyDescent="0.2">
      <c r="A38" t="s">
        <v>779</v>
      </c>
      <c r="B38" s="240">
        <v>1633.5</v>
      </c>
      <c r="C38" s="240">
        <v>146.06</v>
      </c>
    </row>
    <row r="39" spans="1:3" x14ac:dyDescent="0.2">
      <c r="A39" t="s">
        <v>780</v>
      </c>
      <c r="B39" s="240"/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3908.94</v>
      </c>
      <c r="C40" s="231">
        <f>SUM(C37:C39)</f>
        <v>741.68000000000006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Milan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2016985.04</v>
      </c>
      <c r="D5" s="20">
        <f>SUM('DOE25'!L197:L200)+SUM('DOE25'!L215:L218)+SUM('DOE25'!L233:L236)-F5-G5</f>
        <v>1997589.1400000001</v>
      </c>
      <c r="E5" s="243"/>
      <c r="F5" s="255">
        <f>SUM('DOE25'!J197:J200)+SUM('DOE25'!J215:J218)+SUM('DOE25'!J233:J236)</f>
        <v>19020.900000000001</v>
      </c>
      <c r="G5" s="53">
        <f>SUM('DOE25'!K197:K200)+SUM('DOE25'!K215:K218)+SUM('DOE25'!K233:K236)</f>
        <v>375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199207.1</v>
      </c>
      <c r="D6" s="20">
        <f>'DOE25'!L202+'DOE25'!L220+'DOE25'!L238-F6-G6</f>
        <v>198661.12</v>
      </c>
      <c r="E6" s="243"/>
      <c r="F6" s="255">
        <f>'DOE25'!J202+'DOE25'!J220+'DOE25'!J238</f>
        <v>216.98000000000002</v>
      </c>
      <c r="G6" s="53">
        <f>'DOE25'!K202+'DOE25'!K220+'DOE25'!K238</f>
        <v>329</v>
      </c>
      <c r="H6" s="259"/>
    </row>
    <row r="7" spans="1:9" x14ac:dyDescent="0.2">
      <c r="A7" s="32">
        <v>2200</v>
      </c>
      <c r="B7" t="s">
        <v>833</v>
      </c>
      <c r="C7" s="245">
        <f t="shared" si="0"/>
        <v>37966.159999999996</v>
      </c>
      <c r="D7" s="20">
        <f>'DOE25'!L203+'DOE25'!L221+'DOE25'!L239-F7-G7</f>
        <v>33722.759999999995</v>
      </c>
      <c r="E7" s="243"/>
      <c r="F7" s="255">
        <f>'DOE25'!J203+'DOE25'!J221+'DOE25'!J239</f>
        <v>4243.3999999999996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100288.92999999998</v>
      </c>
      <c r="D8" s="243"/>
      <c r="E8" s="20">
        <f>'DOE25'!L204+'DOE25'!L222+'DOE25'!L240-F8-G8-D9-D11</f>
        <v>96200.25999999998</v>
      </c>
      <c r="F8" s="255">
        <f>'DOE25'!J204+'DOE25'!J222+'DOE25'!J240</f>
        <v>0</v>
      </c>
      <c r="G8" s="53">
        <f>'DOE25'!K204+'DOE25'!K222+'DOE25'!K240</f>
        <v>4088.67</v>
      </c>
      <c r="H8" s="259"/>
    </row>
    <row r="9" spans="1:9" x14ac:dyDescent="0.2">
      <c r="A9" s="32">
        <v>2310</v>
      </c>
      <c r="B9" t="s">
        <v>817</v>
      </c>
      <c r="C9" s="245">
        <f t="shared" si="0"/>
        <v>11352.36</v>
      </c>
      <c r="D9" s="244">
        <v>11352.36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4400</v>
      </c>
      <c r="D10" s="243"/>
      <c r="E10" s="244">
        <v>4400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23794.26</v>
      </c>
      <c r="D11" s="244">
        <v>23794.26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126608.24000000002</v>
      </c>
      <c r="D12" s="20">
        <f>'DOE25'!L205+'DOE25'!L223+'DOE25'!L241-F12-G12</f>
        <v>123702.07</v>
      </c>
      <c r="E12" s="243"/>
      <c r="F12" s="255">
        <f>'DOE25'!J205+'DOE25'!J223+'DOE25'!J241</f>
        <v>383.71000000000004</v>
      </c>
      <c r="G12" s="53">
        <f>'DOE25'!K205+'DOE25'!K223+'DOE25'!K241</f>
        <v>2522.46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181662.9</v>
      </c>
      <c r="D14" s="20">
        <f>'DOE25'!L207+'DOE25'!L225+'DOE25'!L243-F14-G14</f>
        <v>177557.27</v>
      </c>
      <c r="E14" s="243"/>
      <c r="F14" s="255">
        <f>'DOE25'!J207+'DOE25'!J225+'DOE25'!J243</f>
        <v>4105.63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229617.28000000003</v>
      </c>
      <c r="D15" s="20">
        <f>'DOE25'!L208+'DOE25'!L226+'DOE25'!L244-F15-G15</f>
        <v>229617.28000000003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6445.04</v>
      </c>
      <c r="D19" s="20">
        <f>'DOE25'!L253-F19-G19</f>
        <v>6045.04</v>
      </c>
      <c r="E19" s="243"/>
      <c r="F19" s="255">
        <f>'DOE25'!J253</f>
        <v>0</v>
      </c>
      <c r="G19" s="53">
        <f>'DOE25'!K253</f>
        <v>400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84.32</v>
      </c>
      <c r="D22" s="243"/>
      <c r="E22" s="243"/>
      <c r="F22" s="255">
        <f>'DOE25'!L255+'DOE25'!L336</f>
        <v>84.32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181390</v>
      </c>
      <c r="D25" s="243"/>
      <c r="E25" s="243"/>
      <c r="F25" s="258"/>
      <c r="G25" s="256"/>
      <c r="H25" s="257">
        <f>'DOE25'!L260+'DOE25'!L261+'DOE25'!L341+'DOE25'!L342</f>
        <v>181390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56765</v>
      </c>
      <c r="D29" s="20">
        <f>'DOE25'!L358+'DOE25'!L359+'DOE25'!L360-'DOE25'!I367-F29-G29</f>
        <v>56765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86386.64</v>
      </c>
      <c r="D31" s="20">
        <f>'DOE25'!L290+'DOE25'!L309+'DOE25'!L328+'DOE25'!L333+'DOE25'!L334+'DOE25'!L335-F31-G31</f>
        <v>85628.64</v>
      </c>
      <c r="E31" s="243"/>
      <c r="F31" s="255">
        <f>'DOE25'!J290+'DOE25'!J309+'DOE25'!J328+'DOE25'!J333+'DOE25'!J334+'DOE25'!J335</f>
        <v>758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2944434.94</v>
      </c>
      <c r="E33" s="246">
        <f>SUM(E5:E31)</f>
        <v>100600.25999999998</v>
      </c>
      <c r="F33" s="246">
        <f>SUM(F5:F31)</f>
        <v>28812.94</v>
      </c>
      <c r="G33" s="246">
        <f>SUM(G5:G31)</f>
        <v>7715.13</v>
      </c>
      <c r="H33" s="246">
        <f>SUM(H5:H31)</f>
        <v>181390</v>
      </c>
    </row>
    <row r="35" spans="2:8" ht="12" thickBot="1" x14ac:dyDescent="0.25">
      <c r="B35" s="253" t="s">
        <v>846</v>
      </c>
      <c r="D35" s="254">
        <f>E33</f>
        <v>100600.25999999998</v>
      </c>
      <c r="E35" s="249"/>
    </row>
    <row r="36" spans="2:8" ht="12" thickTop="1" x14ac:dyDescent="0.2">
      <c r="B36" t="s">
        <v>814</v>
      </c>
      <c r="D36" s="20">
        <f>D33</f>
        <v>2944434.94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39329.449999999997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17982.29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7.99</v>
      </c>
      <c r="D11" s="95">
        <f>'DOE25'!G12</f>
        <v>7070.04</v>
      </c>
      <c r="E11" s="95">
        <f>'DOE25'!H12</f>
        <v>0</v>
      </c>
      <c r="F11" s="95">
        <f>'DOE25'!I12</f>
        <v>0</v>
      </c>
      <c r="G11" s="95">
        <f>'DOE25'!J12</f>
        <v>8500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20756.68</v>
      </c>
      <c r="D12" s="95">
        <f>'DOE25'!G13</f>
        <v>1591.36</v>
      </c>
      <c r="E12" s="95">
        <f>'DOE25'!H13</f>
        <v>16464.55</v>
      </c>
      <c r="F12" s="95">
        <f>'DOE25'!I13</f>
        <v>0</v>
      </c>
      <c r="G12" s="95">
        <f>'DOE25'!J13</f>
        <v>307352.39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39.799999999999997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173825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251941.21000000002</v>
      </c>
      <c r="D18" s="41">
        <f>SUM(D8:D17)</f>
        <v>8661.4</v>
      </c>
      <c r="E18" s="41">
        <f>SUM(E8:E17)</f>
        <v>16464.55</v>
      </c>
      <c r="F18" s="41">
        <f>SUM(F8:F17)</f>
        <v>0</v>
      </c>
      <c r="G18" s="41">
        <f>SUM(G8:G17)</f>
        <v>315852.39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11945.03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8500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6246.99</v>
      </c>
      <c r="D23" s="95">
        <f>'DOE25'!G24</f>
        <v>4917.6000000000004</v>
      </c>
      <c r="E23" s="95">
        <f>'DOE25'!H24</f>
        <v>835.89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6526.27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7000</v>
      </c>
      <c r="D29" s="95">
        <f>'DOE25'!G30</f>
        <v>0</v>
      </c>
      <c r="E29" s="95">
        <f>'DOE25'!H30</f>
        <v>3683.63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22773.260000000002</v>
      </c>
      <c r="D31" s="41">
        <f>SUM(D21:D30)</f>
        <v>4917.6000000000004</v>
      </c>
      <c r="E31" s="41">
        <f>SUM(E21:E30)</f>
        <v>16464.55</v>
      </c>
      <c r="F31" s="41">
        <f>SUM(F21:F30)</f>
        <v>0</v>
      </c>
      <c r="G31" s="41">
        <f>SUM(G21:G30)</f>
        <v>8500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36355.949999999997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3743.8</v>
      </c>
      <c r="E47" s="95">
        <f>'DOE25'!H48</f>
        <v>0</v>
      </c>
      <c r="F47" s="95">
        <f>'DOE25'!I48</f>
        <v>0</v>
      </c>
      <c r="G47" s="95">
        <f>'DOE25'!J48</f>
        <v>307352.39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192812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229167.95</v>
      </c>
      <c r="D50" s="41">
        <f>SUM(D34:D49)</f>
        <v>3743.8</v>
      </c>
      <c r="E50" s="41">
        <f>SUM(E34:E49)</f>
        <v>0</v>
      </c>
      <c r="F50" s="41">
        <f>SUM(F34:F49)</f>
        <v>0</v>
      </c>
      <c r="G50" s="41">
        <f>SUM(G34:G49)</f>
        <v>307352.39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251941.21000000002</v>
      </c>
      <c r="D51" s="41">
        <f>D50+D31</f>
        <v>8661.4000000000015</v>
      </c>
      <c r="E51" s="41">
        <f>E50+E31</f>
        <v>16464.55</v>
      </c>
      <c r="F51" s="41">
        <f>F50+F31</f>
        <v>0</v>
      </c>
      <c r="G51" s="41">
        <f>G50+G31</f>
        <v>315852.39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1429393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158391.69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4251.33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2019.66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23333.73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111574.62999999999</v>
      </c>
      <c r="D61" s="95">
        <f>SUM('DOE25'!G98:G110)</f>
        <v>0</v>
      </c>
      <c r="E61" s="95">
        <f>SUM('DOE25'!H98:H110)</f>
        <v>2939.16</v>
      </c>
      <c r="F61" s="95">
        <f>SUM('DOE25'!I98:I110)</f>
        <v>0</v>
      </c>
      <c r="G61" s="95">
        <f>SUM('DOE25'!J98:J110)</f>
        <v>1540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274217.64999999997</v>
      </c>
      <c r="D62" s="130">
        <f>SUM(D57:D61)</f>
        <v>23333.73</v>
      </c>
      <c r="E62" s="130">
        <f>SUM(E57:E61)</f>
        <v>2939.16</v>
      </c>
      <c r="F62" s="130">
        <f>SUM(F57:F61)</f>
        <v>0</v>
      </c>
      <c r="G62" s="130">
        <f>SUM(G57:G61)</f>
        <v>3559.66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1703610.65</v>
      </c>
      <c r="D63" s="22">
        <f>D56+D62</f>
        <v>23333.73</v>
      </c>
      <c r="E63" s="22">
        <f>E56+E62</f>
        <v>2939.16</v>
      </c>
      <c r="F63" s="22">
        <f>F56+F62</f>
        <v>0</v>
      </c>
      <c r="G63" s="22">
        <f>G56+G62</f>
        <v>3559.66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1083913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222405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1306318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76251.37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2494.9499999999998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872.34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78746.319999999992</v>
      </c>
      <c r="D78" s="130">
        <f>SUM(D72:D77)</f>
        <v>872.34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1385064.32</v>
      </c>
      <c r="D81" s="130">
        <f>SUM(D79:D80)+D78+D70</f>
        <v>872.34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53435.37</v>
      </c>
      <c r="D88" s="95">
        <f>SUM('DOE25'!G153:G161)</f>
        <v>37938.230000000003</v>
      </c>
      <c r="E88" s="95">
        <f>SUM('DOE25'!H153:H161)</f>
        <v>85138.61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6438.48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59873.850000000006</v>
      </c>
      <c r="D91" s="131">
        <f>SUM(D85:D90)</f>
        <v>37938.230000000003</v>
      </c>
      <c r="E91" s="131">
        <f>SUM(E85:E90)</f>
        <v>85138.61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41000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41000</v>
      </c>
    </row>
    <row r="104" spans="1:7" ht="12.75" thickTop="1" thickBot="1" x14ac:dyDescent="0.25">
      <c r="A104" s="33" t="s">
        <v>764</v>
      </c>
      <c r="C104" s="86">
        <f>C63+C81+C91+C103</f>
        <v>3148548.82</v>
      </c>
      <c r="D104" s="86">
        <f>D63+D81+D91+D103</f>
        <v>62144.3</v>
      </c>
      <c r="E104" s="86">
        <f>E63+E81+E91+E103</f>
        <v>88077.77</v>
      </c>
      <c r="F104" s="86">
        <f>F63+F81+F91+F103</f>
        <v>0</v>
      </c>
      <c r="G104" s="86">
        <f>G63+G81+G103</f>
        <v>44559.66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1667517.3599999999</v>
      </c>
      <c r="D109" s="24" t="s">
        <v>288</v>
      </c>
      <c r="E109" s="95">
        <f>('DOE25'!L276)+('DOE25'!L295)+('DOE25'!L314)</f>
        <v>50409.61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342395.14</v>
      </c>
      <c r="D110" s="24" t="s">
        <v>288</v>
      </c>
      <c r="E110" s="95">
        <f>('DOE25'!L277)+('DOE25'!L296)+('DOE25'!L315)</f>
        <v>34769.410000000003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7072.54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6445.04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2023430.08</v>
      </c>
      <c r="D115" s="86">
        <f>SUM(D109:D114)</f>
        <v>0</v>
      </c>
      <c r="E115" s="86">
        <f>SUM(E109:E114)</f>
        <v>85179.02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199207.1</v>
      </c>
      <c r="D118" s="24" t="s">
        <v>288</v>
      </c>
      <c r="E118" s="95">
        <f>+('DOE25'!L281)+('DOE25'!L300)+('DOE25'!L319)</f>
        <v>462.62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37966.159999999996</v>
      </c>
      <c r="D119" s="24" t="s">
        <v>288</v>
      </c>
      <c r="E119" s="95">
        <f>+('DOE25'!L282)+('DOE25'!L301)+('DOE25'!L320)</f>
        <v>745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135435.54999999999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126608.24000000002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181662.9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229617.28000000003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62056.1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910497.2300000001</v>
      </c>
      <c r="D128" s="86">
        <f>SUM(D118:D127)</f>
        <v>62056.1</v>
      </c>
      <c r="E128" s="86">
        <f>SUM(E118:E127)</f>
        <v>1207.6199999999999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84.32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170000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11390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41802.120000000003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2757.54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-3559.6600000000035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1691.13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222474.32</v>
      </c>
      <c r="D144" s="141">
        <f>SUM(D130:D143)</f>
        <v>0</v>
      </c>
      <c r="E144" s="141">
        <f>SUM(E130:E143)</f>
        <v>1691.13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3156401.63</v>
      </c>
      <c r="D145" s="86">
        <f>(D115+D128+D144)</f>
        <v>62056.1</v>
      </c>
      <c r="E145" s="86">
        <f>(E115+E128+E144)</f>
        <v>88077.77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06/2002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07/2017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170000</v>
      </c>
    </row>
    <row r="159" spans="1:9" x14ac:dyDescent="0.2">
      <c r="A159" s="22" t="s">
        <v>35</v>
      </c>
      <c r="B159" s="137">
        <f>'DOE25'!F498</f>
        <v>170000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170000</v>
      </c>
    </row>
    <row r="160" spans="1:9" x14ac:dyDescent="0.2">
      <c r="A160" s="22" t="s">
        <v>36</v>
      </c>
      <c r="B160" s="137">
        <f>'DOE25'!F499</f>
        <v>3825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3825</v>
      </c>
    </row>
    <row r="161" spans="1:7" x14ac:dyDescent="0.2">
      <c r="A161" s="22" t="s">
        <v>37</v>
      </c>
      <c r="B161" s="137">
        <f>'DOE25'!F500</f>
        <v>173825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173825</v>
      </c>
    </row>
    <row r="162" spans="1:7" x14ac:dyDescent="0.2">
      <c r="A162" s="22" t="s">
        <v>38</v>
      </c>
      <c r="B162" s="137">
        <f>'DOE25'!F501</f>
        <v>170000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170000</v>
      </c>
    </row>
    <row r="163" spans="1:7" x14ac:dyDescent="0.2">
      <c r="A163" s="22" t="s">
        <v>39</v>
      </c>
      <c r="B163" s="137">
        <f>'DOE25'!F502</f>
        <v>3825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3825</v>
      </c>
    </row>
    <row r="164" spans="1:7" x14ac:dyDescent="0.2">
      <c r="A164" s="22" t="s">
        <v>246</v>
      </c>
      <c r="B164" s="137">
        <f>'DOE25'!F503</f>
        <v>173825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173825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Milan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11836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11836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1717927</v>
      </c>
      <c r="D10" s="182">
        <f>ROUND((C10/$C$28)*100,1)</f>
        <v>55.9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377165</v>
      </c>
      <c r="D11" s="182">
        <f>ROUND((C11/$C$28)*100,1)</f>
        <v>12.3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7073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199670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38711</v>
      </c>
      <c r="D16" s="182">
        <f t="shared" si="0"/>
        <v>1.3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135436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126608</v>
      </c>
      <c r="D18" s="182">
        <f t="shared" si="0"/>
        <v>4.0999999999999996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181663</v>
      </c>
      <c r="D20" s="182">
        <f t="shared" si="0"/>
        <v>5.9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229617</v>
      </c>
      <c r="D21" s="182">
        <f t="shared" si="0"/>
        <v>7.5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6445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11390</v>
      </c>
      <c r="D25" s="182">
        <f t="shared" si="0"/>
        <v>0.4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1691.13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38722.270000000004</v>
      </c>
      <c r="D27" s="182">
        <f t="shared" si="0"/>
        <v>1.3</v>
      </c>
    </row>
    <row r="28" spans="1:4" x14ac:dyDescent="0.2">
      <c r="B28" s="187" t="s">
        <v>722</v>
      </c>
      <c r="C28" s="180">
        <f>SUM(C10:C27)</f>
        <v>3072118.4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84</v>
      </c>
    </row>
    <row r="30" spans="1:4" x14ac:dyDescent="0.2">
      <c r="B30" s="187" t="s">
        <v>728</v>
      </c>
      <c r="C30" s="180">
        <f>SUM(C28:C29)</f>
        <v>3072202.4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170000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1429393</v>
      </c>
      <c r="D35" s="182">
        <f t="shared" ref="D35:D40" si="1">ROUND((C35/$C$41)*100,1)</f>
        <v>43.6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280716.46999999974</v>
      </c>
      <c r="D36" s="182">
        <f t="shared" si="1"/>
        <v>8.6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1306318</v>
      </c>
      <c r="D37" s="182">
        <f t="shared" si="1"/>
        <v>39.799999999999997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79619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182951</v>
      </c>
      <c r="D39" s="182">
        <f t="shared" si="1"/>
        <v>5.6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3278997.4699999997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Milan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2</v>
      </c>
      <c r="B4" s="219">
        <v>9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2017-09-12T13:37:15Z</cp:lastPrinted>
  <dcterms:created xsi:type="dcterms:W3CDTF">1997-12-04T19:04:30Z</dcterms:created>
  <dcterms:modified xsi:type="dcterms:W3CDTF">2017-11-29T17:42:58Z</dcterms:modified>
</cp:coreProperties>
</file>