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1155" windowWidth="23040" windowHeight="997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279" i="1" l="1"/>
  <c r="F279" i="1"/>
  <c r="H90" i="1" l="1"/>
  <c r="H102" i="1"/>
  <c r="H155" i="1"/>
  <c r="J604" i="1" l="1"/>
  <c r="I604" i="1"/>
  <c r="H604" i="1"/>
  <c r="G322" i="1"/>
  <c r="F322" i="1"/>
  <c r="G303" i="1"/>
  <c r="F303" i="1"/>
  <c r="H287" i="1"/>
  <c r="H320" i="1"/>
  <c r="H301" i="1"/>
  <c r="H282" i="1"/>
  <c r="I281" i="1"/>
  <c r="H281" i="1"/>
  <c r="G321" i="1"/>
  <c r="F321" i="1"/>
  <c r="G302" i="1"/>
  <c r="F302" i="1"/>
  <c r="G283" i="1"/>
  <c r="F283" i="1"/>
  <c r="I282" i="1"/>
  <c r="G282" i="1"/>
  <c r="F320" i="1"/>
  <c r="G301" i="1"/>
  <c r="F301" i="1"/>
  <c r="G320" i="1"/>
  <c r="H243" i="1" l="1"/>
  <c r="F234" i="1"/>
  <c r="F241" i="1"/>
  <c r="F243" i="1"/>
  <c r="F233" i="1"/>
  <c r="F110" i="1"/>
  <c r="F104" i="1"/>
  <c r="J233" i="1"/>
  <c r="K233" i="1"/>
  <c r="H233" i="1"/>
  <c r="G233" i="1"/>
  <c r="K215" i="1"/>
  <c r="H215" i="1"/>
  <c r="G215" i="1"/>
  <c r="F215" i="1"/>
  <c r="K197" i="1"/>
  <c r="I197" i="1"/>
  <c r="H197" i="1"/>
  <c r="G197" i="1"/>
  <c r="F197" i="1"/>
  <c r="J243" i="1"/>
  <c r="I243" i="1"/>
  <c r="G243" i="1"/>
  <c r="J225" i="1"/>
  <c r="I225" i="1"/>
  <c r="H225" i="1"/>
  <c r="G225" i="1"/>
  <c r="F225" i="1"/>
  <c r="J207" i="1"/>
  <c r="I207" i="1"/>
  <c r="H207" i="1"/>
  <c r="G207" i="1"/>
  <c r="F207" i="1"/>
  <c r="K238" i="1"/>
  <c r="J238" i="1"/>
  <c r="I238" i="1"/>
  <c r="H238" i="1"/>
  <c r="G238" i="1"/>
  <c r="F238" i="1"/>
  <c r="J220" i="1"/>
  <c r="K220" i="1"/>
  <c r="I220" i="1"/>
  <c r="H220" i="1"/>
  <c r="G220" i="1"/>
  <c r="F220" i="1"/>
  <c r="K202" i="1"/>
  <c r="J202" i="1"/>
  <c r="I202" i="1"/>
  <c r="H202" i="1"/>
  <c r="G202" i="1"/>
  <c r="F202" i="1"/>
  <c r="H241" i="1"/>
  <c r="G241" i="1"/>
  <c r="H223" i="1"/>
  <c r="G223" i="1"/>
  <c r="F223" i="1"/>
  <c r="I205" i="1"/>
  <c r="H205" i="1"/>
  <c r="G205" i="1"/>
  <c r="F205" i="1"/>
  <c r="I239" i="1"/>
  <c r="H239" i="1"/>
  <c r="G239" i="1"/>
  <c r="F239" i="1"/>
  <c r="I221" i="1"/>
  <c r="H221" i="1"/>
  <c r="G221" i="1"/>
  <c r="F221" i="1"/>
  <c r="I203" i="1"/>
  <c r="H203" i="1"/>
  <c r="G203" i="1"/>
  <c r="F203" i="1"/>
  <c r="H522" i="1"/>
  <c r="I523" i="1"/>
  <c r="H523" i="1"/>
  <c r="G523" i="1"/>
  <c r="F523" i="1"/>
  <c r="I522" i="1"/>
  <c r="G522" i="1"/>
  <c r="F522" i="1"/>
  <c r="I521" i="1"/>
  <c r="H521" i="1"/>
  <c r="G521" i="1"/>
  <c r="F521" i="1"/>
  <c r="G533" i="1"/>
  <c r="F533" i="1"/>
  <c r="H532" i="1"/>
  <c r="G532" i="1"/>
  <c r="F532" i="1"/>
  <c r="G531" i="1"/>
  <c r="G234" i="1"/>
  <c r="H234" i="1"/>
  <c r="I234" i="1"/>
  <c r="I216" i="1"/>
  <c r="H216" i="1"/>
  <c r="G216" i="1"/>
  <c r="F216" i="1"/>
  <c r="I198" i="1"/>
  <c r="H198" i="1"/>
  <c r="G198" i="1"/>
  <c r="F198" i="1"/>
  <c r="I591" i="1"/>
  <c r="J591" i="1"/>
  <c r="G613" i="1" l="1"/>
  <c r="F61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C11" i="10" s="1"/>
  <c r="L316" i="1"/>
  <c r="L317" i="1"/>
  <c r="C13" i="10" s="1"/>
  <c r="L319" i="1"/>
  <c r="L320" i="1"/>
  <c r="E119" i="2" s="1"/>
  <c r="L321" i="1"/>
  <c r="L322" i="1"/>
  <c r="L323" i="1"/>
  <c r="E122" i="2" s="1"/>
  <c r="L324" i="1"/>
  <c r="L325" i="1"/>
  <c r="L326" i="1"/>
  <c r="L333" i="1"/>
  <c r="E114" i="2" s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G112" i="1" s="1"/>
  <c r="H79" i="1"/>
  <c r="H94" i="1"/>
  <c r="E58" i="2" s="1"/>
  <c r="E62" i="2" s="1"/>
  <c r="E63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F85" i="2" s="1"/>
  <c r="I162" i="1"/>
  <c r="C12" i="10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1" i="2"/>
  <c r="C112" i="2"/>
  <c r="C113" i="2"/>
  <c r="E113" i="2"/>
  <c r="C114" i="2"/>
  <c r="D115" i="2"/>
  <c r="F115" i="2"/>
  <c r="G115" i="2"/>
  <c r="E118" i="2"/>
  <c r="E123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K257" i="1" s="1"/>
  <c r="F256" i="1"/>
  <c r="G256" i="1"/>
  <c r="H256" i="1"/>
  <c r="I256" i="1"/>
  <c r="J256" i="1"/>
  <c r="K256" i="1"/>
  <c r="F257" i="1"/>
  <c r="L270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H328" i="1"/>
  <c r="I328" i="1"/>
  <c r="F337" i="1"/>
  <c r="G337" i="1"/>
  <c r="G338" i="1" s="1"/>
  <c r="G352" i="1" s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H571" i="1" s="1"/>
  <c r="I560" i="1"/>
  <c r="J560" i="1"/>
  <c r="J571" i="1" s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J639" i="1" s="1"/>
  <c r="H640" i="1"/>
  <c r="G641" i="1"/>
  <c r="H641" i="1"/>
  <c r="H642" i="1"/>
  <c r="G643" i="1"/>
  <c r="H643" i="1"/>
  <c r="G644" i="1"/>
  <c r="H644" i="1"/>
  <c r="G645" i="1"/>
  <c r="H645" i="1"/>
  <c r="J645" i="1" s="1"/>
  <c r="H647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C26" i="10"/>
  <c r="L351" i="1"/>
  <c r="A31" i="12"/>
  <c r="D62" i="2"/>
  <c r="D63" i="2" s="1"/>
  <c r="D18" i="13"/>
  <c r="C18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03" i="2"/>
  <c r="E31" i="2"/>
  <c r="G62" i="2"/>
  <c r="D19" i="13"/>
  <c r="C19" i="13" s="1"/>
  <c r="E78" i="2"/>
  <c r="E81" i="2" s="1"/>
  <c r="L427" i="1"/>
  <c r="J641" i="1"/>
  <c r="K571" i="1"/>
  <c r="D81" i="2"/>
  <c r="I169" i="1"/>
  <c r="J643" i="1"/>
  <c r="I476" i="1"/>
  <c r="H625" i="1" s="1"/>
  <c r="J625" i="1" s="1"/>
  <c r="F169" i="1"/>
  <c r="J140" i="1"/>
  <c r="G22" i="2"/>
  <c r="C29" i="10"/>
  <c r="H140" i="1"/>
  <c r="L393" i="1"/>
  <c r="C138" i="2" s="1"/>
  <c r="A13" i="12"/>
  <c r="F22" i="13"/>
  <c r="H25" i="13"/>
  <c r="C25" i="13" s="1"/>
  <c r="L560" i="1"/>
  <c r="G192" i="1"/>
  <c r="H192" i="1"/>
  <c r="C35" i="10"/>
  <c r="L570" i="1"/>
  <c r="G36" i="2"/>
  <c r="G545" i="1"/>
  <c r="C22" i="13"/>
  <c r="H33" i="13"/>
  <c r="A40" i="12" l="1"/>
  <c r="H476" i="1"/>
  <c r="H624" i="1" s="1"/>
  <c r="G624" i="1"/>
  <c r="H112" i="1"/>
  <c r="H193" i="1" s="1"/>
  <c r="G629" i="1" s="1"/>
  <c r="J629" i="1" s="1"/>
  <c r="J624" i="1"/>
  <c r="C81" i="2"/>
  <c r="E124" i="2"/>
  <c r="H662" i="1"/>
  <c r="I662" i="1" s="1"/>
  <c r="E120" i="2"/>
  <c r="H338" i="1"/>
  <c r="H352" i="1" s="1"/>
  <c r="E121" i="2"/>
  <c r="E128" i="2" s="1"/>
  <c r="L309" i="1"/>
  <c r="E112" i="2"/>
  <c r="E115" i="2" s="1"/>
  <c r="L328" i="1"/>
  <c r="J338" i="1"/>
  <c r="J352" i="1" s="1"/>
  <c r="E110" i="2"/>
  <c r="L290" i="1"/>
  <c r="C10" i="10"/>
  <c r="C15" i="10"/>
  <c r="F476" i="1"/>
  <c r="H622" i="1" s="1"/>
  <c r="J622" i="1" s="1"/>
  <c r="F192" i="1"/>
  <c r="F112" i="1"/>
  <c r="J617" i="1"/>
  <c r="C18" i="2"/>
  <c r="C123" i="2"/>
  <c r="C20" i="10"/>
  <c r="D14" i="13"/>
  <c r="C14" i="13" s="1"/>
  <c r="I545" i="1"/>
  <c r="G552" i="1"/>
  <c r="K550" i="1"/>
  <c r="K549" i="1"/>
  <c r="C118" i="2"/>
  <c r="C121" i="2"/>
  <c r="D12" i="13"/>
  <c r="C12" i="13" s="1"/>
  <c r="C18" i="10"/>
  <c r="H257" i="1"/>
  <c r="H271" i="1" s="1"/>
  <c r="C120" i="2"/>
  <c r="E8" i="13"/>
  <c r="C8" i="13" s="1"/>
  <c r="C119" i="2"/>
  <c r="C16" i="10"/>
  <c r="D7" i="13"/>
  <c r="C7" i="13" s="1"/>
  <c r="K551" i="1"/>
  <c r="H545" i="1"/>
  <c r="F552" i="1"/>
  <c r="L524" i="1"/>
  <c r="H552" i="1"/>
  <c r="L534" i="1"/>
  <c r="L545" i="1" s="1"/>
  <c r="L539" i="1"/>
  <c r="E16" i="13"/>
  <c r="C16" i="13" s="1"/>
  <c r="C17" i="10"/>
  <c r="C125" i="2"/>
  <c r="L211" i="1"/>
  <c r="E13" i="13"/>
  <c r="C13" i="13" s="1"/>
  <c r="C19" i="10"/>
  <c r="C122" i="2"/>
  <c r="J257" i="1"/>
  <c r="J271" i="1" s="1"/>
  <c r="J651" i="1"/>
  <c r="I257" i="1"/>
  <c r="I271" i="1" s="1"/>
  <c r="L229" i="1"/>
  <c r="D15" i="13"/>
  <c r="C15" i="13" s="1"/>
  <c r="G649" i="1"/>
  <c r="J649" i="1" s="1"/>
  <c r="C124" i="2"/>
  <c r="C128" i="2" s="1"/>
  <c r="J545" i="1"/>
  <c r="J552" i="1"/>
  <c r="K598" i="1"/>
  <c r="G647" i="1" s="1"/>
  <c r="J647" i="1" s="1"/>
  <c r="D5" i="13"/>
  <c r="C5" i="13" s="1"/>
  <c r="L247" i="1"/>
  <c r="C111" i="2"/>
  <c r="C115" i="2" s="1"/>
  <c r="J476" i="1"/>
  <c r="H626" i="1" s="1"/>
  <c r="J640" i="1"/>
  <c r="L401" i="1"/>
  <c r="C139" i="2" s="1"/>
  <c r="K271" i="1"/>
  <c r="J644" i="1"/>
  <c r="L614" i="1"/>
  <c r="L382" i="1"/>
  <c r="G636" i="1" s="1"/>
  <c r="J636" i="1" s="1"/>
  <c r="D91" i="2"/>
  <c r="G476" i="1"/>
  <c r="H623" i="1" s="1"/>
  <c r="J623" i="1" s="1"/>
  <c r="G661" i="1"/>
  <c r="F661" i="1"/>
  <c r="D29" i="13"/>
  <c r="C29" i="13" s="1"/>
  <c r="D127" i="2"/>
  <c r="D128" i="2" s="1"/>
  <c r="D145" i="2" s="1"/>
  <c r="H661" i="1"/>
  <c r="L362" i="1"/>
  <c r="C27" i="10" s="1"/>
  <c r="L565" i="1"/>
  <c r="L571" i="1" s="1"/>
  <c r="F571" i="1"/>
  <c r="F271" i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E104" i="2"/>
  <c r="I663" i="1"/>
  <c r="G635" i="1"/>
  <c r="J635" i="1" s="1"/>
  <c r="C36" i="10" l="1"/>
  <c r="F660" i="1"/>
  <c r="G660" i="1"/>
  <c r="E145" i="2"/>
  <c r="L338" i="1"/>
  <c r="L352" i="1" s="1"/>
  <c r="G633" i="1" s="1"/>
  <c r="J633" i="1" s="1"/>
  <c r="D31" i="13"/>
  <c r="C31" i="13" s="1"/>
  <c r="C104" i="2"/>
  <c r="F193" i="1"/>
  <c r="G627" i="1" s="1"/>
  <c r="J627" i="1" s="1"/>
  <c r="K552" i="1"/>
  <c r="H648" i="1"/>
  <c r="J648" i="1" s="1"/>
  <c r="C28" i="10"/>
  <c r="D24" i="10" s="1"/>
  <c r="L257" i="1"/>
  <c r="L271" i="1" s="1"/>
  <c r="G632" i="1" s="1"/>
  <c r="J632" i="1" s="1"/>
  <c r="E33" i="13"/>
  <c r="D35" i="13" s="1"/>
  <c r="F664" i="1"/>
  <c r="F672" i="1" s="1"/>
  <c r="C4" i="10" s="1"/>
  <c r="C145" i="2"/>
  <c r="H660" i="1"/>
  <c r="H664" i="1" s="1"/>
  <c r="G664" i="1"/>
  <c r="I661" i="1"/>
  <c r="G104" i="2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3" i="10"/>
  <c r="F667" i="1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H672" i="1"/>
  <c r="C6" i="10" s="1"/>
  <c r="H667" i="1"/>
  <c r="I660" i="1"/>
  <c r="I664" i="1" s="1"/>
  <c r="I672" i="1" s="1"/>
  <c r="C7" i="10" s="1"/>
  <c r="G667" i="1"/>
  <c r="G672" i="1"/>
  <c r="C5" i="10" s="1"/>
  <c r="G637" i="1"/>
  <c r="J637" i="1" s="1"/>
  <c r="H646" i="1"/>
  <c r="J646" i="1" s="1"/>
  <c r="C41" i="10"/>
  <c r="D38" i="10" s="1"/>
  <c r="D28" i="10" l="1"/>
  <c r="I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<sst xmlns="http://schemas.openxmlformats.org/spreadsheetml/2006/main" count="3956" uniqueCount="914">
  <si>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</si>
  <si>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</si>
  <si>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</si>
  <si>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</si>
  <si>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</si>
  <si>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</si>
  <si>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</si>
  <si>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</si>
  <si>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</si>
  <si>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</si>
  <si>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</si>
  <si>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</si>
  <si>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</si>
  <si>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</si>
  <si>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</si>
  <si>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</si>
  <si>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</si>
  <si>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</si>
  <si>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</si>
  <si>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</si>
  <si>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</si>
  <si>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</si>
  <si>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</si>
  <si>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</si>
  <si>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</si>
  <si>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</si>
  <si>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</si>
  <si>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</si>
  <si>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</si>
  <si>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</si>
  <si>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</si>
  <si>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</si>
  <si>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</si>
  <si>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</si>
  <si>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</si>
  <si>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</si>
  <si>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</si>
  <si>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</si>
  <si>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</si>
  <si>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</si>
  <si>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</si>
  <si>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</si>
  <si>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</si>
  <si>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</si>
  <si>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</si>
  <si>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</si>
  <si>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</si>
  <si>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</si>
  <si>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</si>
  <si>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</si>
  <si>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</si>
  <si>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</si>
  <si>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</si>
  <si>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</si>
  <si>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</si>
  <si>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</si>
  <si>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</si>
  <si>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</si>
  <si>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</si>
  <si>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</si>
  <si>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</si>
  <si>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</si>
  <si>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</si>
  <si>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</si>
  <si>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</si>
  <si>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</si>
  <si>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</si>
  <si>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</si>
  <si>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</si>
  <si>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</si>
  <si>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</si>
  <si>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</si>
  <si>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</si>
  <si>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</si>
  <si>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</si>
  <si>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</si>
  <si>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</si>
  <si>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</si>
  <si>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</si>
  <si>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</si>
  <si>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</si>
  <si>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</si>
  <si>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</si>
  <si>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</si>
  <si>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</si>
  <si>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</si>
  <si>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</si>
  <si>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</si>
  <si>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</si>
  <si>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</si>
  <si>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</si>
  <si>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</si>
  <si>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</si>
  <si>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</si>
  <si>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</si>
  <si>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</si>
  <si>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</si>
  <si>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</si>
  <si>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</si>
  <si>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</si>
  <si>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</si>
  <si>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</si>
  <si>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</si>
  <si>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</si>
  <si>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</si>
  <si>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</si>
  <si>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</si>
  <si>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</si>
  <si>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</si>
  <si>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</si>
  <si>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</si>
  <si>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</si>
  <si>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</si>
  <si>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</si>
  <si>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</si>
  <si>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</si>
  <si>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</si>
  <si>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</si>
  <si>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</si>
  <si>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</si>
  <si>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</si>
  <si>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</si>
  <si>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</si>
  <si>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</si>
  <si>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</si>
  <si>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</si>
  <si>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</si>
  <si>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</si>
  <si>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</si>
  <si>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</si>
  <si>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</si>
  <si>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</si>
  <si>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</si>
  <si>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</si>
  <si>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</si>
  <si>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</si>
  <si>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</si>
  <si>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</si>
  <si>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</si>
  <si>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</si>
  <si>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</si>
  <si>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</si>
  <si>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</si>
  <si>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</si>
  <si>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</si>
  <si>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</si>
  <si>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</si>
  <si>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</si>
  <si>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</si>
  <si>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</si>
  <si>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</si>
  <si>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</si>
  <si>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</si>
  <si>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</si>
  <si>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</si>
  <si>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</si>
  <si>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</si>
  <si>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</si>
  <si>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</si>
  <si>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</si>
  <si>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</si>
  <si>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</si>
  <si>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</si>
  <si>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</si>
  <si>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</si>
  <si>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</si>
  <si>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</si>
  <si>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</si>
  <si>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</si>
  <si>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</si>
  <si>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</si>
  <si>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</si>
  <si>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</si>
  <si>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</si>
  <si>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</si>
  <si>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</si>
  <si>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</si>
  <si>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</si>
  <si>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</si>
  <si>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</si>
  <si>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</si>
  <si>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</si>
  <si>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</si>
  <si>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</si>
  <si>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</si>
  <si>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</si>
  <si>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</si>
  <si>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</si>
  <si>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</si>
  <si>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</si>
  <si>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</si>
  <si>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</si>
  <si>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</si>
  <si>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</si>
  <si>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</si>
  <si>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</si>
  <si>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</si>
  <si>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</si>
  <si>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</si>
  <si>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</si>
  <si>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</si>
  <si>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</si>
  <si>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</si>
  <si>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</si>
  <si>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</si>
  <si>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</si>
  <si>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</si>
  <si>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</si>
  <si>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</si>
  <si>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</si>
  <si>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</si>
  <si>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</si>
  <si>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</si>
  <si>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</si>
  <si>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</si>
  <si>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</si>
  <si>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</si>
  <si>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</si>
  <si>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</si>
  <si>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</si>
  <si>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</si>
  <si>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</si>
  <si>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</si>
  <si>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</si>
  <si>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</si>
  <si>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</si>
  <si>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</si>
  <si>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</si>
  <si>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</si>
  <si>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</si>
  <si>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</si>
  <si>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</si>
  <si>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</si>
  <si>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</si>
  <si>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</si>
  <si>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</si>
  <si>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</si>
  <si>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</si>
  <si>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</si>
  <si>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</si>
  <si>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</si>
  <si>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</si>
  <si>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</si>
  <si>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</si>
  <si>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</si>
  <si>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</si>
  <si>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</si>
  <si>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</si>
  <si>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</si>
  <si>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</si>
  <si>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</si>
  <si>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</si>
  <si>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</si>
  <si>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</si>
  <si>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</si>
  <si>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</si>
  <si>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</si>
  <si>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</si>
  <si>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</si>
  <si>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</si>
  <si>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</si>
  <si>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</si>
  <si>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</si>
  <si>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</si>
  <si>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</si>
  <si>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</si>
  <si>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</si>
  <si>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</si>
  <si>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</si>
  <si>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</si>
  <si>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</si>
  <si>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</si>
  <si>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</si>
  <si>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</si>
  <si>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</si>
  <si>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</si>
  <si>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</si>
  <si>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</si>
  <si>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</si>
  <si>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</si>
  <si>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</si>
  <si>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</si>
  <si>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</si>
  <si>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</si>
  <si>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</si>
  <si>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</si>
  <si>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</si>
  <si>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</si>
  <si>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</si>
  <si>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</si>
  <si>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</si>
  <si>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</si>
  <si>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</si>
  <si>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</si>
  <si>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</si>
  <si>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</si>
  <si>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</si>
  <si>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</si>
  <si>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</si>
  <si>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</si>
  <si>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</si>
  <si>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</si>
  <si>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</si>
  <si>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</si>
  <si>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</si>
  <si>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</si>
  <si>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</si>
  <si>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</si>
  <si>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</si>
  <si>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</si>
  <si>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</si>
  <si>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</si>
  <si>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</si>
  <si>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</si>
  <si>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</si>
  <si>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</si>
  <si>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</si>
  <si>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</si>
  <si>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</si>
  <si>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</si>
  <si>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</si>
  <si>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</si>
  <si>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</si>
  <si>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</si>
  <si>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</si>
  <si>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</si>
  <si>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</si>
  <si>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</si>
  <si>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</si>
  <si>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</si>
  <si>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</si>
  <si>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</si>
  <si>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</si>
  <si>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</si>
  <si>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</si>
  <si>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</si>
  <si>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</si>
  <si>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</si>
  <si>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</si>
  <si>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</si>
  <si>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</si>
  <si>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</si>
  <si>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</si>
  <si>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</si>
  <si>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</si>
  <si>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</si>
  <si>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</si>
  <si>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</si>
  <si>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</si>
  <si>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</si>
  <si>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</si>
  <si>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</si>
  <si>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</si>
  <si>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</si>
  <si>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</si>
  <si>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</si>
  <si>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</si>
  <si>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</si>
  <si>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</si>
  <si>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</si>
  <si>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</si>
  <si>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</si>
  <si>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</si>
  <si>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</si>
  <si>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</si>
  <si>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</si>
  <si>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</si>
  <si>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</si>
  <si>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</si>
  <si>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</si>
  <si>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</si>
  <si>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</si>
  <si>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</si>
  <si>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</si>
  <si>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</si>
  <si>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</si>
  <si>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</si>
  <si>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</si>
  <si>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</si>
  <si>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</si>
  <si>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</si>
  <si>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</si>
  <si>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</si>
  <si>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</si>
  <si>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</si>
  <si>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</si>
  <si>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</si>
  <si>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</si>
  <si>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</si>
  <si>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</si>
  <si>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</si>
  <si>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</si>
  <si>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</si>
  <si>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</si>
  <si>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</si>
  <si>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</si>
  <si>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</si>
  <si>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</si>
  <si>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</si>
  <si>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</si>
  <si>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</si>
  <si>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</si>
  <si>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</si>
  <si>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</si>
  <si>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</si>
  <si>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</si>
  <si>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</si>
  <si>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</si>
  <si>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</si>
  <si>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</si>
  <si>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</si>
  <si>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</si>
  <si>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</si>
  <si>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</si>
  <si>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</si>
  <si>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</si>
  <si>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</si>
  <si>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</si>
  <si>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</si>
  <si>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</si>
  <si>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</si>
  <si>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</si>
  <si>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</si>
  <si>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</si>
  <si>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</si>
  <si>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</si>
  <si>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</si>
  <si>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</si>
  <si>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</si>
  <si>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</si>
  <si>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</si>
  <si>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</si>
  <si>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</si>
  <si>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</si>
  <si>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</si>
  <si>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</si>
  <si>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</si>
  <si>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</si>
  <si>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</si>
  <si>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</si>
  <si>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</si>
  <si>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</si>
  <si>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</si>
  <si>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</si>
  <si>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</si>
  <si>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</si>
  <si>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</si>
  <si>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</si>
  <si>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</si>
  <si>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</si>
  <si>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</si>
  <si>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</si>
  <si>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</si>
  <si>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</si>
  <si>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</si>
  <si>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</si>
  <si>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</si>
  <si>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</si>
  <si>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</si>
  <si>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</si>
  <si>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</si>
  <si>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</si>
  <si>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</si>
  <si>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</si>
  <si>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</si>
  <si>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</si>
  <si>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</si>
  <si>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</si>
  <si>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</si>
  <si>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</si>
  <si>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</si>
  <si>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</si>
  <si>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</si>
  <si>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</si>
  <si>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</si>
  <si>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</si>
  <si>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</si>
  <si>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</si>
  <si>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</si>
  <si>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</si>
  <si>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</si>
  <si>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</si>
  <si>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</si>
  <si>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</si>
  <si>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</si>
  <si>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</si>
  <si>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</si>
  <si>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</si>
  <si>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</si>
  <si>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</si>
  <si>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</si>
  <si>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</si>
  <si>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</si>
  <si>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</si>
  <si>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</si>
  <si>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</si>
  <si>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</si>
  <si>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</si>
  <si>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</si>
  <si>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</si>
  <si>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</si>
  <si>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</si>
  <si>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</si>
  <si>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</si>
  <si>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</si>
  <si>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</si>
  <si>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</si>
  <si>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</si>
  <si>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</si>
  <si>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</si>
  <si>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</si>
  <si>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</si>
  <si>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</si>
  <si>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</si>
  <si>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</si>
  <si>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</si>
  <si>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</si>
  <si>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</si>
  <si>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</si>
  <si>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</si>
  <si>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</si>
  <si>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</si>
  <si>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</si>
  <si>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</si>
  <si>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</si>
  <si>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</si>
  <si>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</si>
  <si>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</si>
  <si>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</si>
  <si>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</si>
  <si>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</si>
  <si>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</si>
  <si>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</si>
  <si>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</si>
  <si>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</si>
  <si>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</si>
  <si>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</si>
  <si>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</si>
  <si>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</si>
  <si>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</si>
  <si>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</si>
  <si>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</si>
  <si>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</si>
  <si>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</si>
  <si>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</si>
  <si>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</si>
  <si>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</si>
  <si>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</si>
  <si>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</si>
  <si>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</si>
  <si>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</si>
  <si>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</si>
  <si>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</si>
  <si>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</si>
  <si>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</si>
  <si>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</si>
  <si>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</si>
  <si>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</si>
  <si>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</si>
  <si>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</si>
  <si>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</si>
  <si>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</si>
  <si>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</si>
  <si>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</si>
  <si>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</si>
  <si>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</si>
  <si>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</si>
  <si>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</si>
  <si>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</si>
  <si>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</si>
  <si>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</si>
  <si>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</si>
  <si>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</si>
  <si>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</si>
  <si>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</si>
  <si>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</si>
  <si>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</si>
  <si>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</si>
  <si>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</si>
  <si>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</si>
  <si>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</si>
  <si>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</si>
  <si>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</si>
  <si>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</si>
  <si>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</si>
  <si>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</si>
  <si>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</si>
  <si>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</si>
  <si>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</si>
  <si>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</si>
  <si>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</si>
  <si>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</si>
  <si>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</si>
  <si>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</si>
  <si>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</si>
  <si>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</si>
  <si>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</si>
  <si>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</si>
  <si>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</si>
  <si>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</si>
  <si>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</si>
  <si>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</si>
  <si>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</si>
  <si>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</si>
  <si>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</si>
  <si>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</si>
  <si>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</si>
  <si>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</si>
  <si>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</si>
  <si>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</si>
  <si>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</si>
  <si>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</si>
  <si>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</si>
  <si>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</si>
  <si>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</si>
  <si>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</si>
  <si>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</si>
  <si>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</si>
  <si>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</si>
  <si>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</si>
  <si>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</si>
  <si>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</si>
  <si>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</si>
  <si>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</si>
  <si>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</si>
  <si>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</si>
  <si>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</si>
  <si>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</si>
  <si>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</si>
  <si>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</si>
  <si>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</si>
  <si>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</si>
  <si>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</si>
  <si>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</si>
  <si>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</si>
  <si>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</si>
  <si>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</si>
  <si>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</si>
  <si>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</si>
  <si>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</si>
  <si>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</si>
  <si>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</si>
  <si>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</si>
  <si>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</si>
  <si>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</si>
  <si>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</si>
  <si>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</si>
  <si>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</si>
  <si>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</si>
  <si>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</si>
  <si>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</si>
  <si>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</si>
  <si>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</si>
  <si>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</si>
  <si>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</si>
  <si>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</si>
  <si>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</si>
  <si>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</si>
  <si>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</si>
  <si>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</si>
  <si>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</si>
  <si>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</si>
  <si>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</si>
  <si>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</si>
  <si>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</si>
  <si>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</si>
  <si>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</si>
  <si>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</si>
  <si>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</si>
  <si>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</si>
  <si>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</si>
  <si>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</si>
  <si>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</si>
  <si>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</si>
  <si>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</si>
  <si>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</si>
  <si>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</si>
  <si>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</si>
  <si>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</si>
  <si>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</si>
  <si>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</si>
  <si>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</si>
  <si>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</si>
  <si>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</si>
  <si>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</si>
  <si>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</si>
  <si>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</si>
  <si>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</si>
  <si>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</si>
  <si>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</si>
  <si>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</si>
  <si>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</si>
  <si>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</si>
  <si>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</si>
  <si>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</si>
  <si>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</si>
  <si>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</si>
  <si>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</si>
  <si>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</si>
  <si>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</si>
  <si>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</si>
  <si>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</si>
  <si>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</si>
  <si>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</si>
  <si>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</si>
  <si>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</si>
  <si>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</si>
  <si>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</si>
  <si>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</si>
  <si>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</si>
  <si>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</si>
  <si>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</si>
  <si>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</si>
  <si>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</si>
  <si>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</si>
  <si>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</si>
  <si>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</si>
  <si>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</si>
  <si>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</si>
  <si>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</si>
  <si>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</si>
  <si>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</si>
  <si>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</si>
  <si>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</si>
  <si>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</si>
  <si>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</si>
  <si>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</si>
  <si>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</si>
  <si>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</si>
  <si>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</si>
  <si>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</si>
  <si>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</si>
  <si>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</si>
  <si>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</si>
  <si>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</si>
  <si>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</si>
  <si>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</si>
  <si>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</si>
  <si>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</si>
  <si>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</si>
  <si>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</si>
  <si>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</si>
  <si>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</si>
  <si>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</si>
  <si>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</si>
  <si>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</si>
  <si>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</si>
  <si>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</si>
  <si>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</si>
  <si>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</si>
  <si>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</si>
  <si>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</si>
  <si>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</si>
  <si>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</si>
  <si>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</si>
  <si>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</si>
  <si>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</si>
  <si>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</si>
  <si>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</si>
  <si>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</si>
  <si>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</si>
  <si>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</si>
  <si>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</si>
  <si>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</si>
  <si>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</si>
  <si>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</si>
  <si>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</si>
  <si>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</si>
  <si>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</si>
  <si>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</si>
  <si>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</si>
  <si>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</si>
  <si>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</si>
  <si>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</si>
  <si>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</si>
  <si>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</si>
  <si>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</si>
  <si>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</si>
  <si>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</si>
  <si>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</si>
  <si>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</si>
  <si>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</si>
  <si>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</si>
  <si>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</si>
  <si>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</si>
  <si>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</si>
  <si>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</si>
  <si>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</si>
  <si>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</si>
  <si>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</si>
  <si>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</si>
  <si>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</si>
  <si>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</si>
  <si>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</si>
  <si>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</si>
  <si>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</si>
  <si>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</si>
  <si>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</si>
  <si>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</si>
  <si>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</si>
  <si>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</si>
  <si>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</si>
  <si>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</si>
  <si>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</si>
  <si>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</si>
  <si>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</si>
  <si>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</si>
  <si>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</si>
  <si>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</si>
  <si>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</si>
  <si>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</si>
  <si>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</si>
  <si>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</si>
  <si>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</si>
  <si>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</si>
  <si>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</si>
  <si>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</si>
  <si>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</si>
  <si>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</si>
  <si>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</si>
  <si>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</si>
  <si>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</si>
  <si>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</si>
  <si>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</si>
  <si>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</si>
  <si>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</si>
  <si>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</si>
  <si>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</si>
  <si>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</si>
  <si>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</si>
  <si>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</si>
  <si>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</si>
  <si>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</si>
  <si>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</si>
  <si>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</si>
  <si>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</si>
  <si>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</si>
  <si>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</si>
  <si>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</si>
  <si>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</si>
  <si>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</si>
  <si>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</si>
  <si>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</si>
  <si>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</si>
  <si>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</si>
  <si>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</si>
  <si>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</si>
  <si>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</si>
  <si>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</si>
  <si>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</si>
  <si>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</si>
  <si>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</si>
  <si>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</si>
  <si>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</si>
  <si>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</si>
  <si>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</si>
  <si>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</si>
  <si>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</si>
  <si>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</si>
  <si>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</si>
  <si>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</si>
  <si>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</si>
  <si>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</si>
  <si>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</si>
  <si>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</si>
  <si>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</si>
  <si>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</si>
  <si>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</si>
  <si>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</si>
  <si>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</si>
  <si>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</si>
  <si>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</si>
  <si>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</si>
  <si>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</si>
  <si>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</si>
  <si>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</si>
  <si>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</si>
  <si>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</si>
  <si>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</si>
  <si>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</si>
  <si>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</si>
  <si>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</si>
  <si>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</si>
  <si>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</si>
  <si>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</si>
  <si>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</si>
  <si>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</si>
  <si>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</si>
  <si>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</si>
  <si>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</si>
  <si>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</si>
  <si>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</si>
  <si>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</si>
  <si>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</si>
  <si>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</si>
  <si>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</si>
  <si>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</si>
  <si>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</si>
  <si>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</si>
  <si>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</si>
  <si>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</si>
  <si>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</si>
  <si>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</si>
  <si>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</si>
  <si>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</si>
  <si>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</si>
  <si>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</si>
  <si>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</si>
  <si>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</si>
  <si>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</si>
  <si>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</si>
  <si>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</si>
  <si>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Monadnock Regional School District</t>
  </si>
  <si>
    <t>prior year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</si>
</sst>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5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363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3004573</v>
      </c>
      <c r="G9" s="18">
        <v>2329</v>
      </c>
      <c r="H9" s="18">
        <v>62537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864509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173288</v>
      </c>
      <c r="H12" s="18"/>
      <c r="I12" s="18">
        <v>877616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19284</v>
      </c>
      <c r="H13" s="18">
        <v>514082</v>
      </c>
      <c r="I13" s="18"/>
      <c r="J13" s="67">
        <f>SUM(I442)</f>
        <v>511240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24563</v>
      </c>
      <c r="G14" s="18"/>
      <c r="H14" s="18">
        <v>13675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3893645</v>
      </c>
      <c r="G19" s="41">
        <f>SUM(G9:G18)</f>
        <v>194901</v>
      </c>
      <c r="H19" s="41">
        <f>SUM(H9:H18)</f>
        <v>590294</v>
      </c>
      <c r="I19" s="41">
        <f>SUM(I9:I18)</f>
        <v>877616</v>
      </c>
      <c r="J19" s="41">
        <f>SUM(J9:J18)</f>
        <v>511240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602018</v>
      </c>
      <c r="G22" s="18">
        <v>1159</v>
      </c>
      <c r="H22" s="18">
        <v>505219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607757</v>
      </c>
      <c r="G24" s="18">
        <v>1483</v>
      </c>
      <c r="H24" s="18">
        <v>2505</v>
      </c>
      <c r="I24" s="18">
        <v>248131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727783</v>
      </c>
      <c r="G29" s="18"/>
      <c r="H29" s="18">
        <v>33308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1937558</v>
      </c>
      <c r="G32" s="41">
        <f>SUM(G22:G31)</f>
        <v>2642</v>
      </c>
      <c r="H32" s="41">
        <f>SUM(H22:H31)</f>
        <v>541032</v>
      </c>
      <c r="I32" s="41">
        <f>SUM(I22:I31)</f>
        <v>248131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345213</v>
      </c>
      <c r="G43" s="18">
        <v>192259</v>
      </c>
      <c r="H43" s="18">
        <v>49131</v>
      </c>
      <c r="I43" s="18"/>
      <c r="J43" s="13">
        <f>SUM(I456)</f>
        <v>3060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508180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18164</v>
      </c>
      <c r="G49" s="18"/>
      <c r="H49" s="18">
        <v>131</v>
      </c>
      <c r="I49" s="18">
        <v>629485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1592710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1956087</v>
      </c>
      <c r="G51" s="41">
        <f>SUM(G35:G50)</f>
        <v>192259</v>
      </c>
      <c r="H51" s="41">
        <f>SUM(H35:H50)</f>
        <v>49262</v>
      </c>
      <c r="I51" s="41">
        <f>SUM(I35:I50)</f>
        <v>629485</v>
      </c>
      <c r="J51" s="41">
        <f>SUM(J35:J50)</f>
        <v>511240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3893645</v>
      </c>
      <c r="G52" s="41">
        <f>G51+G32</f>
        <v>194901</v>
      </c>
      <c r="H52" s="41">
        <f>H51+H32</f>
        <v>590294</v>
      </c>
      <c r="I52" s="41">
        <f>I51+I32</f>
        <v>877616</v>
      </c>
      <c r="J52" s="41">
        <f>J51+J32</f>
        <v>511240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17796335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17796335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49129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1970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92888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143987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>
        <f>331215+358866</f>
        <v>690081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690081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3946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456856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2207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6291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f>16355-2207-3537</f>
        <v>10611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f>677+247</f>
        <v>924</v>
      </c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123708+35959</f>
        <v>159667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166882</v>
      </c>
      <c r="G111" s="41">
        <f>SUM(G96:G110)</f>
        <v>456856</v>
      </c>
      <c r="H111" s="41">
        <f>SUM(H96:H110)</f>
        <v>12818</v>
      </c>
      <c r="I111" s="41">
        <f>SUM(I96:I110)</f>
        <v>0</v>
      </c>
      <c r="J111" s="41">
        <f>SUM(J96:J110)</f>
        <v>3946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18107204</v>
      </c>
      <c r="G112" s="41">
        <f>G60+G111</f>
        <v>456856</v>
      </c>
      <c r="H112" s="41">
        <f>H60+H79+H94+H111</f>
        <v>702899</v>
      </c>
      <c r="I112" s="41">
        <f>I60+I111</f>
        <v>0</v>
      </c>
      <c r="J112" s="41">
        <f>J60+J111</f>
        <v>3946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9339409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2451625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8028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11799062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630701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292263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8558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2124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931522</v>
      </c>
      <c r="G136" s="41">
        <f>SUM(G123:G135)</f>
        <v>2124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12730584</v>
      </c>
      <c r="G140" s="41">
        <f>G121+SUM(G136:G137)</f>
        <v>2124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548386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636233+107838+71264</f>
        <v>815335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8800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435978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433910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433910</v>
      </c>
      <c r="G162" s="41">
        <f>SUM(G150:G161)</f>
        <v>435978</v>
      </c>
      <c r="H162" s="41">
        <f>SUM(H150:H161)</f>
        <v>1372521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>
        <v>3537</v>
      </c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433910</v>
      </c>
      <c r="G169" s="41">
        <f>G147+G162+SUM(G163:G168)</f>
        <v>435978</v>
      </c>
      <c r="H169" s="41">
        <f>H147+H162+SUM(H163:H168)</f>
        <v>1376058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>
        <v>1150000</v>
      </c>
      <c r="J179" s="18">
        <v>139500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1150000</v>
      </c>
      <c r="J183" s="41">
        <f>SUM(J179:J182)</f>
        <v>139500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1462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>
        <v>161384</v>
      </c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1462</v>
      </c>
      <c r="G188" s="41">
        <f>SUM(G185:G187)</f>
        <v>0</v>
      </c>
      <c r="H188" s="41">
        <f>SUM(H185:H187)</f>
        <v>161384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1462</v>
      </c>
      <c r="G192" s="41">
        <f>G183+SUM(G188:G191)</f>
        <v>0</v>
      </c>
      <c r="H192" s="41">
        <f>+H183+SUM(H188:H191)</f>
        <v>161384</v>
      </c>
      <c r="I192" s="41">
        <f>I177+I183+SUM(I188:I191)</f>
        <v>1150000</v>
      </c>
      <c r="J192" s="41">
        <f>J183</f>
        <v>139500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31273160</v>
      </c>
      <c r="G193" s="47">
        <f>G112+G140+G169+G192</f>
        <v>894958</v>
      </c>
      <c r="H193" s="47">
        <f>H112+H140+H169+H192</f>
        <v>2240341</v>
      </c>
      <c r="I193" s="47">
        <f>I112+I140+I169+I192</f>
        <v>1150000</v>
      </c>
      <c r="J193" s="47">
        <f>J112+J140+J192</f>
        <v>143446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9186+3369039</f>
        <v>3378225</v>
      </c>
      <c r="G197" s="18">
        <f>830451+997750</f>
        <v>1828201</v>
      </c>
      <c r="H197" s="18">
        <f>70800+850</f>
        <v>71650</v>
      </c>
      <c r="I197" s="18">
        <f>137901</f>
        <v>137901</v>
      </c>
      <c r="J197" s="18">
        <v>26821</v>
      </c>
      <c r="K197" s="18">
        <f>18333</f>
        <v>18333</v>
      </c>
      <c r="L197" s="19">
        <f>SUM(F197:K197)</f>
        <v>5461131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1740339+149207</f>
        <v>1889546</v>
      </c>
      <c r="G198" s="18">
        <f>1215369+51357+246726</f>
        <v>1513452</v>
      </c>
      <c r="H198" s="18">
        <f>25+1284376</f>
        <v>1284401</v>
      </c>
      <c r="I198" s="18">
        <f>820+14712</f>
        <v>15532</v>
      </c>
      <c r="J198" s="18">
        <v>419</v>
      </c>
      <c r="K198" s="18"/>
      <c r="L198" s="19">
        <f>SUM(F198:K198)</f>
        <v>4703350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2075</v>
      </c>
      <c r="G200" s="18">
        <v>190</v>
      </c>
      <c r="H200" s="18">
        <v>670</v>
      </c>
      <c r="I200" s="18"/>
      <c r="J200" s="18"/>
      <c r="K200" s="18"/>
      <c r="L200" s="19">
        <f>SUM(F200:K200)</f>
        <v>2935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344037+389918</f>
        <v>733955</v>
      </c>
      <c r="G202" s="18">
        <f>95565+278591</f>
        <v>374156</v>
      </c>
      <c r="H202" s="18">
        <f>681+1922</f>
        <v>2603</v>
      </c>
      <c r="I202" s="18">
        <f>5064+8972</f>
        <v>14036</v>
      </c>
      <c r="J202" s="18">
        <f>1006</f>
        <v>1006</v>
      </c>
      <c r="K202" s="18">
        <f>460+69</f>
        <v>529</v>
      </c>
      <c r="L202" s="19">
        <f t="shared" ref="L202:L208" si="0">SUM(F202:K202)</f>
        <v>1126285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69756+94750</f>
        <v>164506</v>
      </c>
      <c r="G203" s="18">
        <f>24340+96816</f>
        <v>121156</v>
      </c>
      <c r="H203" s="18">
        <f>22734</f>
        <v>22734</v>
      </c>
      <c r="I203" s="18">
        <f>8432+257</f>
        <v>8689</v>
      </c>
      <c r="J203" s="18"/>
      <c r="K203" s="18">
        <v>681</v>
      </c>
      <c r="L203" s="19">
        <f t="shared" si="0"/>
        <v>317766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127893</v>
      </c>
      <c r="G204" s="18">
        <v>40310</v>
      </c>
      <c r="H204" s="18">
        <v>99559</v>
      </c>
      <c r="I204" s="18">
        <v>6444</v>
      </c>
      <c r="J204" s="18">
        <v>4093</v>
      </c>
      <c r="K204" s="18">
        <v>8691</v>
      </c>
      <c r="L204" s="19">
        <f t="shared" si="0"/>
        <v>286990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25175+510710</f>
        <v>535885</v>
      </c>
      <c r="G205" s="18">
        <f>266818+6069</f>
        <v>272887</v>
      </c>
      <c r="H205" s="18">
        <f>49657+25</f>
        <v>49682</v>
      </c>
      <c r="I205" s="18">
        <f>4751</f>
        <v>4751</v>
      </c>
      <c r="J205" s="18">
        <v>1642</v>
      </c>
      <c r="K205" s="18">
        <v>3027</v>
      </c>
      <c r="L205" s="19">
        <f t="shared" si="0"/>
        <v>867874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167159</v>
      </c>
      <c r="G206" s="18">
        <v>133842</v>
      </c>
      <c r="H206" s="18">
        <v>146618</v>
      </c>
      <c r="I206" s="18"/>
      <c r="J206" s="18">
        <v>4333</v>
      </c>
      <c r="K206" s="18">
        <v>80</v>
      </c>
      <c r="L206" s="19">
        <f t="shared" si="0"/>
        <v>452032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204304+279573</f>
        <v>483877</v>
      </c>
      <c r="G207" s="18">
        <f>97813+133054</f>
        <v>230867</v>
      </c>
      <c r="H207" s="18">
        <f>27445+179260</f>
        <v>206705</v>
      </c>
      <c r="I207" s="18">
        <f>17021+221305</f>
        <v>238326</v>
      </c>
      <c r="J207" s="18">
        <f>12624+4519</f>
        <v>17143</v>
      </c>
      <c r="K207" s="18">
        <v>15</v>
      </c>
      <c r="L207" s="19">
        <f t="shared" si="0"/>
        <v>1176933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57151</v>
      </c>
      <c r="G208" s="18">
        <v>4667</v>
      </c>
      <c r="H208" s="18">
        <v>813210</v>
      </c>
      <c r="I208" s="18">
        <v>15111</v>
      </c>
      <c r="J208" s="18">
        <v>14428</v>
      </c>
      <c r="K208" s="18"/>
      <c r="L208" s="19">
        <f t="shared" si="0"/>
        <v>904567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150501</v>
      </c>
      <c r="G209" s="18">
        <v>64388</v>
      </c>
      <c r="H209" s="18">
        <v>253184</v>
      </c>
      <c r="I209" s="18">
        <v>107326</v>
      </c>
      <c r="J209" s="18">
        <v>171591</v>
      </c>
      <c r="K209" s="18"/>
      <c r="L209" s="19">
        <f>SUM(F209:K209)</f>
        <v>746990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7690773</v>
      </c>
      <c r="G211" s="41">
        <f t="shared" si="1"/>
        <v>4584116</v>
      </c>
      <c r="H211" s="41">
        <f t="shared" si="1"/>
        <v>2951016</v>
      </c>
      <c r="I211" s="41">
        <f t="shared" si="1"/>
        <v>548116</v>
      </c>
      <c r="J211" s="41">
        <f t="shared" si="1"/>
        <v>241476</v>
      </c>
      <c r="K211" s="41">
        <f t="shared" si="1"/>
        <v>31356</v>
      </c>
      <c r="L211" s="41">
        <f t="shared" si="1"/>
        <v>16046853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2600+972108</f>
        <v>974708</v>
      </c>
      <c r="G215" s="18">
        <f>250824+282382</f>
        <v>533206</v>
      </c>
      <c r="H215" s="18">
        <f>5110+20038</f>
        <v>25148</v>
      </c>
      <c r="I215" s="18">
        <v>38037</v>
      </c>
      <c r="J215" s="18">
        <v>8820</v>
      </c>
      <c r="K215" s="18">
        <f>5188+80</f>
        <v>5268</v>
      </c>
      <c r="L215" s="19">
        <f>SUM(F215:K215)</f>
        <v>1585187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312019+42228</f>
        <v>354247</v>
      </c>
      <c r="G216" s="18">
        <f>14535+177816+69828</f>
        <v>262179</v>
      </c>
      <c r="H216" s="18">
        <f>363503+2098</f>
        <v>365601</v>
      </c>
      <c r="I216" s="18">
        <f>232+1712</f>
        <v>1944</v>
      </c>
      <c r="J216" s="18">
        <v>118</v>
      </c>
      <c r="K216" s="18"/>
      <c r="L216" s="19">
        <f>SUM(F216:K216)</f>
        <v>984089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62611</v>
      </c>
      <c r="G218" s="18">
        <v>5276</v>
      </c>
      <c r="H218" s="18">
        <v>3222</v>
      </c>
      <c r="I218" s="18">
        <v>13776</v>
      </c>
      <c r="J218" s="18">
        <v>2305</v>
      </c>
      <c r="K218" s="18">
        <v>7695</v>
      </c>
      <c r="L218" s="19">
        <f>SUM(F218:K218)</f>
        <v>94885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97369+102444</f>
        <v>199813</v>
      </c>
      <c r="G220" s="18">
        <f>32828+78846</f>
        <v>111674</v>
      </c>
      <c r="H220" s="18">
        <f>544+1062</f>
        <v>1606</v>
      </c>
      <c r="I220" s="18">
        <f>6203+2539</f>
        <v>8742</v>
      </c>
      <c r="J220" s="18">
        <f>285+498</f>
        <v>783</v>
      </c>
      <c r="K220" s="18">
        <f>617+20</f>
        <v>637</v>
      </c>
      <c r="L220" s="19">
        <f t="shared" ref="L220:L226" si="2">SUM(F220:K220)</f>
        <v>323255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19742+57007</f>
        <v>76749</v>
      </c>
      <c r="G221" s="18">
        <f>23220+6889</f>
        <v>30109</v>
      </c>
      <c r="H221" s="18">
        <f>6434</f>
        <v>6434</v>
      </c>
      <c r="I221" s="18">
        <f>73+9942</f>
        <v>10015</v>
      </c>
      <c r="J221" s="18"/>
      <c r="K221" s="18">
        <v>193</v>
      </c>
      <c r="L221" s="19">
        <f t="shared" si="2"/>
        <v>123500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36196</v>
      </c>
      <c r="G222" s="18">
        <v>11409</v>
      </c>
      <c r="H222" s="18">
        <v>28177</v>
      </c>
      <c r="I222" s="18">
        <v>1824</v>
      </c>
      <c r="J222" s="18">
        <v>1158</v>
      </c>
      <c r="K222" s="18">
        <v>2460</v>
      </c>
      <c r="L222" s="19">
        <f t="shared" si="2"/>
        <v>81224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127987+7125</f>
        <v>135112</v>
      </c>
      <c r="G223" s="18">
        <f>1718+72244</f>
        <v>73962</v>
      </c>
      <c r="H223" s="18">
        <f>13210+7</f>
        <v>13217</v>
      </c>
      <c r="I223" s="18">
        <v>531</v>
      </c>
      <c r="J223" s="18"/>
      <c r="K223" s="18">
        <v>1694</v>
      </c>
      <c r="L223" s="19">
        <f t="shared" si="2"/>
        <v>224516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47309</v>
      </c>
      <c r="G224" s="18">
        <v>37880</v>
      </c>
      <c r="H224" s="18">
        <v>41496</v>
      </c>
      <c r="I224" s="18"/>
      <c r="J224" s="18">
        <v>1226</v>
      </c>
      <c r="K224" s="18">
        <v>23</v>
      </c>
      <c r="L224" s="19">
        <f t="shared" si="2"/>
        <v>127934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57822+96492</f>
        <v>154314</v>
      </c>
      <c r="G225" s="18">
        <f>53951+27683</f>
        <v>81634</v>
      </c>
      <c r="H225" s="18">
        <f>7767+27680</f>
        <v>35447</v>
      </c>
      <c r="I225" s="18">
        <f>63759+4817</f>
        <v>68576</v>
      </c>
      <c r="J225" s="18">
        <f>3573+1763</f>
        <v>5336</v>
      </c>
      <c r="K225" s="18">
        <v>5</v>
      </c>
      <c r="L225" s="19">
        <f t="shared" si="2"/>
        <v>345312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16175</v>
      </c>
      <c r="G226" s="18">
        <v>1320</v>
      </c>
      <c r="H226" s="18">
        <v>277983</v>
      </c>
      <c r="I226" s="18">
        <v>4277</v>
      </c>
      <c r="J226" s="18">
        <v>4083</v>
      </c>
      <c r="K226" s="18"/>
      <c r="L226" s="19">
        <f t="shared" si="2"/>
        <v>303838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42595</v>
      </c>
      <c r="G227" s="18">
        <v>18223</v>
      </c>
      <c r="H227" s="18">
        <v>58203</v>
      </c>
      <c r="I227" s="18">
        <v>30375</v>
      </c>
      <c r="J227" s="18">
        <v>48563</v>
      </c>
      <c r="K227" s="18"/>
      <c r="L227" s="19">
        <f>SUM(F227:K227)</f>
        <v>197959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2099829</v>
      </c>
      <c r="G229" s="41">
        <f>SUM(G215:G228)</f>
        <v>1166872</v>
      </c>
      <c r="H229" s="41">
        <f>SUM(H215:H228)</f>
        <v>856534</v>
      </c>
      <c r="I229" s="41">
        <f>SUM(I215:I228)</f>
        <v>178097</v>
      </c>
      <c r="J229" s="41">
        <f>SUM(J215:J228)</f>
        <v>72392</v>
      </c>
      <c r="K229" s="41">
        <f t="shared" si="3"/>
        <v>17975</v>
      </c>
      <c r="L229" s="41">
        <f t="shared" si="3"/>
        <v>4391699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5546+2065730</f>
        <v>2071276</v>
      </c>
      <c r="G233" s="18">
        <f>533000+602415</f>
        <v>1135415</v>
      </c>
      <c r="H233" s="18">
        <f>42747+10860</f>
        <v>53607</v>
      </c>
      <c r="I233" s="18">
        <v>80830</v>
      </c>
      <c r="J233" s="18">
        <f>18744+29133</f>
        <v>47877</v>
      </c>
      <c r="K233" s="18">
        <f>170+11069</f>
        <v>11239</v>
      </c>
      <c r="L233" s="19">
        <f>SUM(F233:K233)</f>
        <v>3400244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663040+90086</f>
        <v>753126</v>
      </c>
      <c r="G234" s="18">
        <f>31008+377858+148967</f>
        <v>557833</v>
      </c>
      <c r="H234" s="18">
        <f>775472+4460</f>
        <v>779932</v>
      </c>
      <c r="I234" s="18">
        <f>495+3637</f>
        <v>4132</v>
      </c>
      <c r="J234" s="18">
        <v>253</v>
      </c>
      <c r="K234" s="18"/>
      <c r="L234" s="19">
        <f>SUM(F234:K234)</f>
        <v>2095276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57386</v>
      </c>
      <c r="I235" s="18"/>
      <c r="J235" s="18"/>
      <c r="K235" s="18"/>
      <c r="L235" s="19">
        <f>SUM(F235:K235)</f>
        <v>57386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133050</v>
      </c>
      <c r="G236" s="18">
        <v>11213</v>
      </c>
      <c r="H236" s="18">
        <v>6848</v>
      </c>
      <c r="I236" s="18">
        <v>29274</v>
      </c>
      <c r="J236" s="18">
        <v>4897</v>
      </c>
      <c r="K236" s="18">
        <v>16352</v>
      </c>
      <c r="L236" s="19">
        <f>SUM(F236:K236)</f>
        <v>201634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207721+217695</f>
        <v>425416</v>
      </c>
      <c r="G238" s="18">
        <f>69758+168206</f>
        <v>237964</v>
      </c>
      <c r="H238" s="18">
        <f>1160+2258</f>
        <v>3418</v>
      </c>
      <c r="I238" s="18">
        <f>13181+5417</f>
        <v>18598</v>
      </c>
      <c r="J238" s="18">
        <f>1058+608</f>
        <v>1666</v>
      </c>
      <c r="K238" s="18">
        <f>1312+41</f>
        <v>1353</v>
      </c>
      <c r="L238" s="19">
        <f t="shared" ref="L238:L244" si="4">SUM(F238:K238)</f>
        <v>688415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42117+121140</f>
        <v>163257</v>
      </c>
      <c r="G239" s="18">
        <f>49341+14696</f>
        <v>64037</v>
      </c>
      <c r="H239" s="18">
        <f>13726+1464</f>
        <v>15190</v>
      </c>
      <c r="I239" s="18">
        <f>21128+155</f>
        <v>21283</v>
      </c>
      <c r="J239" s="18"/>
      <c r="K239" s="18">
        <v>411</v>
      </c>
      <c r="L239" s="19">
        <f t="shared" si="4"/>
        <v>264178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77219</v>
      </c>
      <c r="G240" s="18">
        <v>24338</v>
      </c>
      <c r="H240" s="18">
        <v>60111</v>
      </c>
      <c r="I240" s="18">
        <v>3891</v>
      </c>
      <c r="J240" s="18">
        <v>2471</v>
      </c>
      <c r="K240" s="18">
        <v>5247</v>
      </c>
      <c r="L240" s="19">
        <f t="shared" si="4"/>
        <v>173277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271971+15200</f>
        <v>287171</v>
      </c>
      <c r="G241" s="18">
        <f>3664+153519</f>
        <v>157183</v>
      </c>
      <c r="H241" s="18">
        <f>15+28072</f>
        <v>28087</v>
      </c>
      <c r="I241" s="18">
        <v>1127</v>
      </c>
      <c r="J241" s="18"/>
      <c r="K241" s="18">
        <v>3601</v>
      </c>
      <c r="L241" s="19">
        <f t="shared" si="4"/>
        <v>477169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100926</v>
      </c>
      <c r="G242" s="18">
        <v>80810</v>
      </c>
      <c r="H242" s="18">
        <v>88524</v>
      </c>
      <c r="I242" s="18"/>
      <c r="J242" s="18">
        <v>2616</v>
      </c>
      <c r="K242" s="18">
        <v>48</v>
      </c>
      <c r="L242" s="19">
        <f t="shared" si="4"/>
        <v>272924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123353+205044</f>
        <v>328397</v>
      </c>
      <c r="G243" s="18">
        <f>114645+59057</f>
        <v>173702</v>
      </c>
      <c r="H243" s="18">
        <f>16571+58821-10200</f>
        <v>65192</v>
      </c>
      <c r="I243" s="18">
        <f>135488+10277</f>
        <v>145765</v>
      </c>
      <c r="J243" s="18">
        <f>7622+3746</f>
        <v>11368</v>
      </c>
      <c r="K243" s="18">
        <v>9</v>
      </c>
      <c r="L243" s="19">
        <f t="shared" si="4"/>
        <v>724433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34506</v>
      </c>
      <c r="G244" s="18">
        <v>2818</v>
      </c>
      <c r="H244" s="18">
        <v>592631</v>
      </c>
      <c r="I244" s="18">
        <v>9124</v>
      </c>
      <c r="J244" s="18">
        <v>8711</v>
      </c>
      <c r="K244" s="18"/>
      <c r="L244" s="19">
        <f t="shared" si="4"/>
        <v>647790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90869</v>
      </c>
      <c r="G245" s="18">
        <v>38876</v>
      </c>
      <c r="H245" s="18">
        <v>124127</v>
      </c>
      <c r="I245" s="18">
        <v>64800</v>
      </c>
      <c r="J245" s="18">
        <v>103602</v>
      </c>
      <c r="K245" s="18"/>
      <c r="L245" s="19">
        <f>SUM(F245:K245)</f>
        <v>422274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4465213</v>
      </c>
      <c r="G247" s="41">
        <f t="shared" si="5"/>
        <v>2484189</v>
      </c>
      <c r="H247" s="41">
        <f t="shared" si="5"/>
        <v>1875053</v>
      </c>
      <c r="I247" s="41">
        <f t="shared" si="5"/>
        <v>378824</v>
      </c>
      <c r="J247" s="41">
        <f t="shared" si="5"/>
        <v>183461</v>
      </c>
      <c r="K247" s="41">
        <f t="shared" si="5"/>
        <v>38260</v>
      </c>
      <c r="L247" s="41">
        <f t="shared" si="5"/>
        <v>9425000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14255815</v>
      </c>
      <c r="G257" s="41">
        <f t="shared" si="8"/>
        <v>8235177</v>
      </c>
      <c r="H257" s="41">
        <f t="shared" si="8"/>
        <v>5682603</v>
      </c>
      <c r="I257" s="41">
        <f t="shared" si="8"/>
        <v>1105037</v>
      </c>
      <c r="J257" s="41">
        <f t="shared" si="8"/>
        <v>497329</v>
      </c>
      <c r="K257" s="41">
        <f t="shared" si="8"/>
        <v>87591</v>
      </c>
      <c r="L257" s="41">
        <f t="shared" si="8"/>
        <v>29863552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1150000</v>
      </c>
      <c r="L265" s="19">
        <f t="shared" si="9"/>
        <v>1150000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139500</v>
      </c>
      <c r="L266" s="19">
        <f t="shared" si="9"/>
        <v>139500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1289500</v>
      </c>
      <c r="L270" s="41">
        <f t="shared" si="9"/>
        <v>1289500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14255815</v>
      </c>
      <c r="G271" s="42">
        <f t="shared" si="11"/>
        <v>8235177</v>
      </c>
      <c r="H271" s="42">
        <f t="shared" si="11"/>
        <v>5682603</v>
      </c>
      <c r="I271" s="42">
        <f t="shared" si="11"/>
        <v>1105037</v>
      </c>
      <c r="J271" s="42">
        <f t="shared" si="11"/>
        <v>497329</v>
      </c>
      <c r="K271" s="42">
        <f t="shared" si="11"/>
        <v>1377091</v>
      </c>
      <c r="L271" s="42">
        <f t="shared" si="11"/>
        <v>31153052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203850</v>
      </c>
      <c r="G276" s="18">
        <v>101525</v>
      </c>
      <c r="H276" s="18"/>
      <c r="I276" s="18"/>
      <c r="J276" s="18"/>
      <c r="K276" s="18"/>
      <c r="L276" s="19">
        <f>SUM(F276:K276)</f>
        <v>305375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133891</v>
      </c>
      <c r="G277" s="18">
        <v>29690</v>
      </c>
      <c r="H277" s="18">
        <v>13266</v>
      </c>
      <c r="I277" s="18">
        <v>8357</v>
      </c>
      <c r="J277" s="18">
        <v>0</v>
      </c>
      <c r="K277" s="18"/>
      <c r="L277" s="19">
        <f>SUM(F277:K277)</f>
        <v>185204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373223+200974</f>
        <v>574197</v>
      </c>
      <c r="G279" s="18">
        <f>71276+200971</f>
        <v>272247</v>
      </c>
      <c r="H279" s="18">
        <v>17305</v>
      </c>
      <c r="I279" s="18">
        <v>45478</v>
      </c>
      <c r="J279" s="18"/>
      <c r="K279" s="18"/>
      <c r="L279" s="19">
        <f>SUM(F279:K279)</f>
        <v>909227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66954</v>
      </c>
      <c r="G281" s="18">
        <v>53801</v>
      </c>
      <c r="H281" s="18">
        <f>754+98</f>
        <v>852</v>
      </c>
      <c r="I281" s="18">
        <f>595+5808</f>
        <v>6403</v>
      </c>
      <c r="J281" s="18"/>
      <c r="K281" s="18"/>
      <c r="L281" s="19">
        <f t="shared" ref="L281:L287" si="12">SUM(F281:K281)</f>
        <v>128010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26597</v>
      </c>
      <c r="G282" s="18">
        <f>4590+297</f>
        <v>4887</v>
      </c>
      <c r="H282" s="18">
        <f>78253+24881</f>
        <v>103134</v>
      </c>
      <c r="I282" s="18">
        <f>4713+34914</f>
        <v>39627</v>
      </c>
      <c r="J282" s="18">
        <v>2871</v>
      </c>
      <c r="K282" s="18"/>
      <c r="L282" s="19">
        <f t="shared" si="12"/>
        <v>177116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f>25385+38358</f>
        <v>63743</v>
      </c>
      <c r="G283" s="18">
        <f>28537+9530</f>
        <v>38067</v>
      </c>
      <c r="H283" s="18">
        <v>342</v>
      </c>
      <c r="I283" s="18">
        <v>291</v>
      </c>
      <c r="J283" s="18"/>
      <c r="K283" s="18"/>
      <c r="L283" s="19">
        <f t="shared" si="12"/>
        <v>102443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17384</v>
      </c>
      <c r="G284" s="18">
        <v>5716</v>
      </c>
      <c r="H284" s="18">
        <v>227</v>
      </c>
      <c r="I284" s="18">
        <v>673</v>
      </c>
      <c r="J284" s="18"/>
      <c r="K284" s="18"/>
      <c r="L284" s="19">
        <f t="shared" si="12"/>
        <v>24000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f>12305+787</f>
        <v>13092</v>
      </c>
      <c r="I287" s="18"/>
      <c r="J287" s="18"/>
      <c r="K287" s="18"/>
      <c r="L287" s="19">
        <f t="shared" si="12"/>
        <v>13092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>
        <v>216</v>
      </c>
      <c r="J288" s="18"/>
      <c r="K288" s="18"/>
      <c r="L288" s="19">
        <f>SUM(F288:K288)</f>
        <v>216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1086616</v>
      </c>
      <c r="G290" s="42">
        <f t="shared" si="13"/>
        <v>505933</v>
      </c>
      <c r="H290" s="42">
        <f t="shared" si="13"/>
        <v>148218</v>
      </c>
      <c r="I290" s="42">
        <f t="shared" si="13"/>
        <v>101045</v>
      </c>
      <c r="J290" s="42">
        <f t="shared" si="13"/>
        <v>2871</v>
      </c>
      <c r="K290" s="42">
        <f t="shared" si="13"/>
        <v>0</v>
      </c>
      <c r="L290" s="41">
        <f t="shared" si="13"/>
        <v>1844683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>
        <v>68</v>
      </c>
      <c r="K295" s="18"/>
      <c r="L295" s="19">
        <f>SUM(F295:K295)</f>
        <v>68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37894</v>
      </c>
      <c r="G296" s="18">
        <v>8403</v>
      </c>
      <c r="H296" s="18">
        <v>3755</v>
      </c>
      <c r="I296" s="18">
        <v>2365</v>
      </c>
      <c r="J296" s="18"/>
      <c r="K296" s="18"/>
      <c r="L296" s="19">
        <f>SUM(F296:K296)</f>
        <v>52417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11243</v>
      </c>
      <c r="G298" s="18">
        <v>3532</v>
      </c>
      <c r="H298" s="18">
        <v>1763</v>
      </c>
      <c r="I298" s="18">
        <v>3304</v>
      </c>
      <c r="J298" s="18"/>
      <c r="K298" s="18"/>
      <c r="L298" s="19">
        <f>SUM(F298:K298)</f>
        <v>19842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v>28</v>
      </c>
      <c r="I300" s="18">
        <v>1644</v>
      </c>
      <c r="J300" s="18"/>
      <c r="K300" s="18"/>
      <c r="L300" s="19">
        <f t="shared" ref="L300:L306" si="14">SUM(F300:K300)</f>
        <v>1672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5223+7527</f>
        <v>12750</v>
      </c>
      <c r="G301" s="18">
        <f>1299+1186</f>
        <v>2485</v>
      </c>
      <c r="H301" s="18">
        <f>22147+1303</f>
        <v>23450</v>
      </c>
      <c r="I301" s="18">
        <v>1334</v>
      </c>
      <c r="J301" s="18"/>
      <c r="K301" s="18"/>
      <c r="L301" s="19">
        <f t="shared" si="14"/>
        <v>40019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f>7185+2104</f>
        <v>9289</v>
      </c>
      <c r="G302" s="18">
        <f>1396+2697</f>
        <v>4093</v>
      </c>
      <c r="H302" s="18">
        <v>97</v>
      </c>
      <c r="I302" s="18">
        <v>82</v>
      </c>
      <c r="J302" s="18"/>
      <c r="K302" s="18"/>
      <c r="L302" s="19">
        <f t="shared" si="14"/>
        <v>13561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f>1195+4920</f>
        <v>6115</v>
      </c>
      <c r="G303" s="18">
        <f>1039+1618</f>
        <v>2657</v>
      </c>
      <c r="H303" s="18">
        <v>64</v>
      </c>
      <c r="I303" s="18">
        <v>191</v>
      </c>
      <c r="J303" s="18"/>
      <c r="K303" s="18"/>
      <c r="L303" s="19">
        <f t="shared" si="14"/>
        <v>9027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v>223</v>
      </c>
      <c r="I306" s="18"/>
      <c r="J306" s="18"/>
      <c r="K306" s="18"/>
      <c r="L306" s="19">
        <f t="shared" si="14"/>
        <v>223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77291</v>
      </c>
      <c r="G309" s="42">
        <f t="shared" si="15"/>
        <v>21170</v>
      </c>
      <c r="H309" s="42">
        <f t="shared" si="15"/>
        <v>29380</v>
      </c>
      <c r="I309" s="42">
        <f t="shared" si="15"/>
        <v>8920</v>
      </c>
      <c r="J309" s="42">
        <f t="shared" si="15"/>
        <v>68</v>
      </c>
      <c r="K309" s="42">
        <f t="shared" si="15"/>
        <v>0</v>
      </c>
      <c r="L309" s="41">
        <f t="shared" si="15"/>
        <v>136829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>
        <v>146</v>
      </c>
      <c r="K314" s="18"/>
      <c r="L314" s="19">
        <f>SUM(F314:K314)</f>
        <v>146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80839</v>
      </c>
      <c r="G315" s="18">
        <v>17926</v>
      </c>
      <c r="H315" s="18">
        <v>8010</v>
      </c>
      <c r="I315" s="18">
        <v>5046</v>
      </c>
      <c r="J315" s="18"/>
      <c r="K315" s="18"/>
      <c r="L315" s="19">
        <f>SUM(F315:K315)</f>
        <v>111821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23891</v>
      </c>
      <c r="G317" s="18">
        <v>7504</v>
      </c>
      <c r="H317" s="18">
        <v>3747</v>
      </c>
      <c r="I317" s="18">
        <v>7021</v>
      </c>
      <c r="J317" s="18"/>
      <c r="K317" s="18"/>
      <c r="L317" s="19">
        <f>SUM(F317:K317)</f>
        <v>42163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v>59</v>
      </c>
      <c r="I319" s="18">
        <v>3507</v>
      </c>
      <c r="J319" s="18"/>
      <c r="K319" s="18"/>
      <c r="L319" s="19">
        <f t="shared" ref="L319:L325" si="16">SUM(F319:K319)</f>
        <v>3566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16058+11100</f>
        <v>27158</v>
      </c>
      <c r="G320" s="18">
        <f>2521+2772</f>
        <v>5293</v>
      </c>
      <c r="H320" s="18">
        <f>47247+2769</f>
        <v>50016</v>
      </c>
      <c r="I320" s="18">
        <v>2845</v>
      </c>
      <c r="J320" s="18"/>
      <c r="K320" s="18"/>
      <c r="L320" s="19">
        <f t="shared" si="16"/>
        <v>85312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f>4471+15327</f>
        <v>19798</v>
      </c>
      <c r="G321" s="18">
        <f>5754+2965</f>
        <v>8719</v>
      </c>
      <c r="H321" s="18">
        <v>206</v>
      </c>
      <c r="I321" s="18">
        <v>176</v>
      </c>
      <c r="J321" s="18"/>
      <c r="K321" s="18"/>
      <c r="L321" s="19">
        <f t="shared" si="16"/>
        <v>28899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f>10496+2538</f>
        <v>13034</v>
      </c>
      <c r="G322" s="18">
        <f>2208+3451</f>
        <v>5659</v>
      </c>
      <c r="H322" s="18">
        <v>137</v>
      </c>
      <c r="I322" s="18">
        <v>406</v>
      </c>
      <c r="J322" s="18"/>
      <c r="K322" s="18"/>
      <c r="L322" s="19">
        <f t="shared" si="16"/>
        <v>19236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475</v>
      </c>
      <c r="I325" s="18"/>
      <c r="J325" s="18"/>
      <c r="K325" s="18"/>
      <c r="L325" s="19">
        <f t="shared" si="16"/>
        <v>475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164720</v>
      </c>
      <c r="G328" s="42">
        <f t="shared" si="17"/>
        <v>45101</v>
      </c>
      <c r="H328" s="42">
        <f t="shared" si="17"/>
        <v>62650</v>
      </c>
      <c r="I328" s="42">
        <f t="shared" si="17"/>
        <v>19001</v>
      </c>
      <c r="J328" s="42">
        <f t="shared" si="17"/>
        <v>146</v>
      </c>
      <c r="K328" s="42">
        <f t="shared" si="17"/>
        <v>0</v>
      </c>
      <c r="L328" s="41">
        <f t="shared" si="17"/>
        <v>291618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7136</v>
      </c>
      <c r="G333" s="18">
        <v>1664</v>
      </c>
      <c r="H333" s="18"/>
      <c r="I333" s="18"/>
      <c r="J333" s="18"/>
      <c r="K333" s="18"/>
      <c r="L333" s="19">
        <f t="shared" si="18"/>
        <v>8800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7136</v>
      </c>
      <c r="G337" s="41">
        <f t="shared" si="19"/>
        <v>1664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8800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1335763</v>
      </c>
      <c r="G338" s="41">
        <f t="shared" si="20"/>
        <v>573868</v>
      </c>
      <c r="H338" s="41">
        <f t="shared" si="20"/>
        <v>240248</v>
      </c>
      <c r="I338" s="41">
        <f t="shared" si="20"/>
        <v>128966</v>
      </c>
      <c r="J338" s="41">
        <f t="shared" si="20"/>
        <v>3085</v>
      </c>
      <c r="K338" s="41">
        <f t="shared" si="20"/>
        <v>0</v>
      </c>
      <c r="L338" s="41">
        <f t="shared" si="20"/>
        <v>2281930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26112</v>
      </c>
      <c r="L344" s="19">
        <f t="shared" ref="L344:L350" si="21">SUM(F344:K344)</f>
        <v>26112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26112</v>
      </c>
      <c r="L351" s="41">
        <f>SUM(L341:L350)</f>
        <v>26112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1335763</v>
      </c>
      <c r="G352" s="41">
        <f>G338</f>
        <v>573868</v>
      </c>
      <c r="H352" s="41">
        <f>H338</f>
        <v>240248</v>
      </c>
      <c r="I352" s="41">
        <f>I338</f>
        <v>128966</v>
      </c>
      <c r="J352" s="41">
        <f>J338</f>
        <v>3085</v>
      </c>
      <c r="K352" s="47">
        <f>K338+K351</f>
        <v>26112</v>
      </c>
      <c r="L352" s="41">
        <f>L338+L351</f>
        <v>2308042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174434</v>
      </c>
      <c r="G358" s="18">
        <v>74528</v>
      </c>
      <c r="H358" s="18">
        <v>5535</v>
      </c>
      <c r="I358" s="18">
        <v>178225</v>
      </c>
      <c r="J358" s="18">
        <v>130</v>
      </c>
      <c r="K358" s="18">
        <v>408</v>
      </c>
      <c r="L358" s="13">
        <f>SUM(F358:K358)</f>
        <v>433260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49368</v>
      </c>
      <c r="G359" s="18">
        <v>21093</v>
      </c>
      <c r="H359" s="18">
        <v>1567</v>
      </c>
      <c r="I359" s="18">
        <v>50441</v>
      </c>
      <c r="J359" s="18">
        <v>37</v>
      </c>
      <c r="K359" s="18">
        <v>116</v>
      </c>
      <c r="L359" s="19">
        <f>SUM(F359:K359)</f>
        <v>122622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105319</v>
      </c>
      <c r="G360" s="18">
        <v>44998</v>
      </c>
      <c r="H360" s="18">
        <v>3342</v>
      </c>
      <c r="I360" s="18">
        <v>107608</v>
      </c>
      <c r="J360" s="18">
        <v>78</v>
      </c>
      <c r="K360" s="18">
        <v>247</v>
      </c>
      <c r="L360" s="19">
        <f>SUM(F360:K360)</f>
        <v>261592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329121</v>
      </c>
      <c r="G362" s="47">
        <f t="shared" si="22"/>
        <v>140619</v>
      </c>
      <c r="H362" s="47">
        <f t="shared" si="22"/>
        <v>10444</v>
      </c>
      <c r="I362" s="47">
        <f t="shared" si="22"/>
        <v>336274</v>
      </c>
      <c r="J362" s="47">
        <f t="shared" si="22"/>
        <v>245</v>
      </c>
      <c r="K362" s="47">
        <f t="shared" si="22"/>
        <v>771</v>
      </c>
      <c r="L362" s="47">
        <f t="shared" si="22"/>
        <v>817474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165812</v>
      </c>
      <c r="G367" s="18">
        <v>46928</v>
      </c>
      <c r="H367" s="18">
        <v>100113</v>
      </c>
      <c r="I367" s="56">
        <f>SUM(F367:H367)</f>
        <v>312853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12413</v>
      </c>
      <c r="G368" s="63">
        <v>3513</v>
      </c>
      <c r="H368" s="63">
        <v>7495</v>
      </c>
      <c r="I368" s="56">
        <f>SUM(F368:H368)</f>
        <v>23421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178225</v>
      </c>
      <c r="G369" s="47">
        <f>SUM(G367:G368)</f>
        <v>50441</v>
      </c>
      <c r="H369" s="47">
        <f>SUM(H367:H368)</f>
        <v>107608</v>
      </c>
      <c r="I369" s="47">
        <f>SUM(I367:I368)</f>
        <v>336274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1194490</v>
      </c>
      <c r="I379" s="18"/>
      <c r="J379" s="18"/>
      <c r="K379" s="18"/>
      <c r="L379" s="13">
        <f t="shared" si="23"/>
        <v>1194490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1194490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1194490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32</v>
      </c>
      <c r="I389" s="18"/>
      <c r="J389" s="24" t="s">
        <v>288</v>
      </c>
      <c r="K389" s="24" t="s">
        <v>288</v>
      </c>
      <c r="L389" s="56">
        <f t="shared" si="25"/>
        <v>32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32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422</v>
      </c>
      <c r="I395" s="18"/>
      <c r="J395" s="24" t="s">
        <v>288</v>
      </c>
      <c r="K395" s="24" t="s">
        <v>288</v>
      </c>
      <c r="L395" s="56">
        <f t="shared" ref="L395:L400" si="26">SUM(F395:K395)</f>
        <v>422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446</v>
      </c>
      <c r="I396" s="18"/>
      <c r="J396" s="24" t="s">
        <v>288</v>
      </c>
      <c r="K396" s="24" t="s">
        <v>288</v>
      </c>
      <c r="L396" s="56">
        <f t="shared" si="26"/>
        <v>446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2232</v>
      </c>
      <c r="I397" s="18"/>
      <c r="J397" s="24" t="s">
        <v>288</v>
      </c>
      <c r="K397" s="24" t="s">
        <v>288</v>
      </c>
      <c r="L397" s="56">
        <f t="shared" si="26"/>
        <v>2232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139500</v>
      </c>
      <c r="H400" s="18">
        <v>814</v>
      </c>
      <c r="I400" s="18"/>
      <c r="J400" s="24" t="s">
        <v>288</v>
      </c>
      <c r="K400" s="24" t="s">
        <v>288</v>
      </c>
      <c r="L400" s="56">
        <f t="shared" si="26"/>
        <v>140314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139500</v>
      </c>
      <c r="H401" s="47">
        <f>SUM(H395:H400)</f>
        <v>3914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143414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139500</v>
      </c>
      <c r="H408" s="47">
        <f>H393+H401+H407</f>
        <v>3946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143446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>
        <v>1462</v>
      </c>
      <c r="L415" s="56">
        <f t="shared" si="27"/>
        <v>1462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1462</v>
      </c>
      <c r="L419" s="47">
        <f t="shared" si="28"/>
        <v>1462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161384</v>
      </c>
      <c r="L426" s="56">
        <f t="shared" si="29"/>
        <v>161384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161384</v>
      </c>
      <c r="L427" s="47">
        <f t="shared" si="30"/>
        <v>161384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162846</v>
      </c>
      <c r="L434" s="47">
        <f t="shared" si="32"/>
        <v>162846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3060</v>
      </c>
      <c r="G442" s="18">
        <v>508180</v>
      </c>
      <c r="H442" s="18"/>
      <c r="I442" s="56">
        <f t="shared" si="33"/>
        <v>511240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3060</v>
      </c>
      <c r="G446" s="13">
        <f>SUM(G439:G445)</f>
        <v>508180</v>
      </c>
      <c r="H446" s="13">
        <f>SUM(H439:H445)</f>
        <v>0</v>
      </c>
      <c r="I446" s="13">
        <f>SUM(I439:I445)</f>
        <v>511240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3060</v>
      </c>
      <c r="G456" s="18"/>
      <c r="H456" s="18"/>
      <c r="I456" s="56">
        <f t="shared" si="34"/>
        <v>3060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508180</v>
      </c>
      <c r="H459" s="18"/>
      <c r="I459" s="56">
        <f t="shared" si="34"/>
        <v>508180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3060</v>
      </c>
      <c r="G460" s="83">
        <f>SUM(G454:G459)</f>
        <v>508180</v>
      </c>
      <c r="H460" s="83">
        <f>SUM(H454:H459)</f>
        <v>0</v>
      </c>
      <c r="I460" s="83">
        <f>SUM(I454:I459)</f>
        <v>511240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3060</v>
      </c>
      <c r="G461" s="42">
        <f>G452+G460</f>
        <v>508180</v>
      </c>
      <c r="H461" s="42">
        <f>H452+H460</f>
        <v>0</v>
      </c>
      <c r="I461" s="42">
        <f>I452+I460</f>
        <v>511240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1938468</v>
      </c>
      <c r="G465" s="18">
        <v>114775</v>
      </c>
      <c r="H465" s="18">
        <v>118013</v>
      </c>
      <c r="I465" s="18">
        <v>673975</v>
      </c>
      <c r="J465" s="18">
        <v>530640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31273160</v>
      </c>
      <c r="G468" s="18">
        <v>894958</v>
      </c>
      <c r="H468" s="18">
        <v>2240341</v>
      </c>
      <c r="I468" s="18">
        <v>1150000</v>
      </c>
      <c r="J468" s="18">
        <v>143446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31273160</v>
      </c>
      <c r="G470" s="53">
        <f>SUM(G468:G469)</f>
        <v>894958</v>
      </c>
      <c r="H470" s="53">
        <f>SUM(H468:H469)</f>
        <v>2240341</v>
      </c>
      <c r="I470" s="53">
        <f>SUM(I468:I469)</f>
        <v>1150000</v>
      </c>
      <c r="J470" s="53">
        <f>SUM(J468:J469)</f>
        <v>143446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31153052</v>
      </c>
      <c r="G472" s="18">
        <v>817474</v>
      </c>
      <c r="H472" s="18">
        <v>2308042</v>
      </c>
      <c r="I472" s="18">
        <v>1194490</v>
      </c>
      <c r="J472" s="18">
        <v>162846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102489</v>
      </c>
      <c r="G473" s="18"/>
      <c r="H473" s="18">
        <v>1050</v>
      </c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31255541</v>
      </c>
      <c r="G474" s="53">
        <f>SUM(G472:G473)</f>
        <v>817474</v>
      </c>
      <c r="H474" s="53">
        <f>SUM(H472:H473)</f>
        <v>2309092</v>
      </c>
      <c r="I474" s="53">
        <f>SUM(I472:I473)</f>
        <v>1194490</v>
      </c>
      <c r="J474" s="53">
        <f>SUM(J472:J473)</f>
        <v>162846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1956087</v>
      </c>
      <c r="G476" s="53">
        <f>(G465+G470)- G474</f>
        <v>192259</v>
      </c>
      <c r="H476" s="53">
        <f>(H465+H470)- H474</f>
        <v>49262</v>
      </c>
      <c r="I476" s="53">
        <f>(I465+I470)- I474</f>
        <v>629485</v>
      </c>
      <c r="J476" s="53">
        <f>(J465+J470)- J474</f>
        <v>511240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1889546-49245</f>
        <v>1840301</v>
      </c>
      <c r="G521" s="18">
        <f>1513452-36061</f>
        <v>1477391</v>
      </c>
      <c r="H521" s="18">
        <f>1284401-4386</f>
        <v>1280015</v>
      </c>
      <c r="I521" s="18">
        <f>15532-159</f>
        <v>15373</v>
      </c>
      <c r="J521" s="18">
        <v>419</v>
      </c>
      <c r="K521" s="18"/>
      <c r="L521" s="88">
        <f>SUM(F521:K521)</f>
        <v>4613499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354247-35669</f>
        <v>318578</v>
      </c>
      <c r="G522" s="18">
        <f>262179-21545</f>
        <v>240634</v>
      </c>
      <c r="H522" s="18">
        <f>365601-1241</f>
        <v>364360</v>
      </c>
      <c r="I522" s="18">
        <f>1944-45</f>
        <v>1899</v>
      </c>
      <c r="J522" s="18">
        <v>118</v>
      </c>
      <c r="K522" s="18"/>
      <c r="L522" s="88">
        <f>SUM(F522:K522)</f>
        <v>925589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753127-75914</f>
        <v>677213</v>
      </c>
      <c r="G523" s="18">
        <f>557833-45866</f>
        <v>511967</v>
      </c>
      <c r="H523" s="18">
        <f>779932-2648</f>
        <v>777284</v>
      </c>
      <c r="I523" s="18">
        <f>4132-96</f>
        <v>4036</v>
      </c>
      <c r="J523" s="18">
        <v>253</v>
      </c>
      <c r="K523" s="18"/>
      <c r="L523" s="88">
        <f>SUM(F523:K523)</f>
        <v>1970753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2836092</v>
      </c>
      <c r="G524" s="108">
        <f t="shared" ref="G524:L524" si="36">SUM(G521:G523)</f>
        <v>2229992</v>
      </c>
      <c r="H524" s="108">
        <f t="shared" si="36"/>
        <v>2421659</v>
      </c>
      <c r="I524" s="108">
        <f t="shared" si="36"/>
        <v>21308</v>
      </c>
      <c r="J524" s="108">
        <f t="shared" si="36"/>
        <v>790</v>
      </c>
      <c r="K524" s="108">
        <f t="shared" si="36"/>
        <v>0</v>
      </c>
      <c r="L524" s="89">
        <f t="shared" si="36"/>
        <v>7509841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323222</v>
      </c>
      <c r="G526" s="18">
        <v>163535</v>
      </c>
      <c r="H526" s="18">
        <v>1556</v>
      </c>
      <c r="I526" s="18">
        <v>6783</v>
      </c>
      <c r="J526" s="18"/>
      <c r="K526" s="18">
        <v>69</v>
      </c>
      <c r="L526" s="88">
        <f>SUM(F526:K526)</f>
        <v>495165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91478</v>
      </c>
      <c r="G527" s="18">
        <v>46284</v>
      </c>
      <c r="H527" s="18">
        <v>440</v>
      </c>
      <c r="I527" s="18">
        <v>1920</v>
      </c>
      <c r="J527" s="18"/>
      <c r="K527" s="18">
        <v>19</v>
      </c>
      <c r="L527" s="88">
        <f>SUM(F527:K527)</f>
        <v>140141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195153</v>
      </c>
      <c r="G528" s="18">
        <v>98738</v>
      </c>
      <c r="H528" s="18">
        <v>939</v>
      </c>
      <c r="I528" s="18">
        <v>4095</v>
      </c>
      <c r="J528" s="18"/>
      <c r="K528" s="18">
        <v>42</v>
      </c>
      <c r="L528" s="88">
        <f>SUM(F528:K528)</f>
        <v>298967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609853</v>
      </c>
      <c r="G529" s="89">
        <f t="shared" ref="G529:L529" si="37">SUM(G526:G528)</f>
        <v>308557</v>
      </c>
      <c r="H529" s="89">
        <f t="shared" si="37"/>
        <v>2935</v>
      </c>
      <c r="I529" s="89">
        <f t="shared" si="37"/>
        <v>12798</v>
      </c>
      <c r="J529" s="89">
        <f t="shared" si="37"/>
        <v>0</v>
      </c>
      <c r="K529" s="89">
        <f t="shared" si="37"/>
        <v>130</v>
      </c>
      <c r="L529" s="89">
        <f t="shared" si="37"/>
        <v>934273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49245</v>
      </c>
      <c r="G531" s="18">
        <f>36061</f>
        <v>36061</v>
      </c>
      <c r="H531" s="18">
        <v>4386</v>
      </c>
      <c r="I531" s="18">
        <v>159</v>
      </c>
      <c r="J531" s="18"/>
      <c r="K531" s="18"/>
      <c r="L531" s="88">
        <f>SUM(F531:K531)</f>
        <v>89851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21732+13937</f>
        <v>35669</v>
      </c>
      <c r="G532" s="18">
        <f>10206+11339</f>
        <v>21545</v>
      </c>
      <c r="H532" s="18">
        <f>1241</f>
        <v>1241</v>
      </c>
      <c r="I532" s="18">
        <v>45</v>
      </c>
      <c r="J532" s="18"/>
      <c r="K532" s="18"/>
      <c r="L532" s="88">
        <f>SUM(F532:K532)</f>
        <v>58500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29733+46181</f>
        <v>75914</v>
      </c>
      <c r="G533" s="18">
        <f>21772+24094</f>
        <v>45866</v>
      </c>
      <c r="H533" s="18">
        <v>2648</v>
      </c>
      <c r="I533" s="18">
        <v>96</v>
      </c>
      <c r="J533" s="18"/>
      <c r="K533" s="18"/>
      <c r="L533" s="88">
        <f>SUM(F533:K533)</f>
        <v>124524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160828</v>
      </c>
      <c r="G534" s="89">
        <f t="shared" ref="G534:L534" si="38">SUM(G531:G533)</f>
        <v>103472</v>
      </c>
      <c r="H534" s="89">
        <f t="shared" si="38"/>
        <v>8275</v>
      </c>
      <c r="I534" s="89">
        <f t="shared" si="38"/>
        <v>300</v>
      </c>
      <c r="J534" s="89">
        <f t="shared" si="38"/>
        <v>0</v>
      </c>
      <c r="K534" s="89">
        <f t="shared" si="38"/>
        <v>0</v>
      </c>
      <c r="L534" s="89">
        <f t="shared" si="38"/>
        <v>272875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57151</v>
      </c>
      <c r="G541" s="18">
        <v>4667</v>
      </c>
      <c r="H541" s="18">
        <v>231913</v>
      </c>
      <c r="I541" s="18">
        <v>15111</v>
      </c>
      <c r="J541" s="18">
        <v>14428</v>
      </c>
      <c r="K541" s="18"/>
      <c r="L541" s="88">
        <f>SUM(F541:K541)</f>
        <v>323270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16175</v>
      </c>
      <c r="G542" s="18">
        <v>1320</v>
      </c>
      <c r="H542" s="18">
        <v>65636</v>
      </c>
      <c r="I542" s="18">
        <v>4277</v>
      </c>
      <c r="J542" s="18">
        <v>4083</v>
      </c>
      <c r="K542" s="18"/>
      <c r="L542" s="88">
        <f>SUM(F542:K542)</f>
        <v>91491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34506</v>
      </c>
      <c r="G543" s="18">
        <v>2818</v>
      </c>
      <c r="H543" s="18">
        <v>140023</v>
      </c>
      <c r="I543" s="18">
        <v>9124</v>
      </c>
      <c r="J543" s="18">
        <v>8711</v>
      </c>
      <c r="K543" s="18"/>
      <c r="L543" s="88">
        <f>SUM(F543:K543)</f>
        <v>195182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107832</v>
      </c>
      <c r="G544" s="193">
        <f t="shared" ref="G544:L544" si="40">SUM(G541:G543)</f>
        <v>8805</v>
      </c>
      <c r="H544" s="193">
        <f t="shared" si="40"/>
        <v>437572</v>
      </c>
      <c r="I544" s="193">
        <f t="shared" si="40"/>
        <v>28512</v>
      </c>
      <c r="J544" s="193">
        <f t="shared" si="40"/>
        <v>27222</v>
      </c>
      <c r="K544" s="193">
        <f t="shared" si="40"/>
        <v>0</v>
      </c>
      <c r="L544" s="193">
        <f t="shared" si="40"/>
        <v>609943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3714605</v>
      </c>
      <c r="G545" s="89">
        <f t="shared" ref="G545:L545" si="41">G524+G529+G534+G539+G544</f>
        <v>2650826</v>
      </c>
      <c r="H545" s="89">
        <f t="shared" si="41"/>
        <v>2870441</v>
      </c>
      <c r="I545" s="89">
        <f t="shared" si="41"/>
        <v>62918</v>
      </c>
      <c r="J545" s="89">
        <f t="shared" si="41"/>
        <v>28012</v>
      </c>
      <c r="K545" s="89">
        <f t="shared" si="41"/>
        <v>130</v>
      </c>
      <c r="L545" s="89">
        <f t="shared" si="41"/>
        <v>9326932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4613499</v>
      </c>
      <c r="G549" s="87">
        <f>L526</f>
        <v>495165</v>
      </c>
      <c r="H549" s="87">
        <f>L531</f>
        <v>89851</v>
      </c>
      <c r="I549" s="87">
        <f>L536</f>
        <v>0</v>
      </c>
      <c r="J549" s="87">
        <f>L541</f>
        <v>323270</v>
      </c>
      <c r="K549" s="87">
        <f>SUM(F549:J549)</f>
        <v>5521785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925589</v>
      </c>
      <c r="G550" s="87">
        <f>L527</f>
        <v>140141</v>
      </c>
      <c r="H550" s="87">
        <f>L532</f>
        <v>58500</v>
      </c>
      <c r="I550" s="87">
        <f>L537</f>
        <v>0</v>
      </c>
      <c r="J550" s="87">
        <f>L542</f>
        <v>91491</v>
      </c>
      <c r="K550" s="87">
        <f>SUM(F550:J550)</f>
        <v>1215721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1970753</v>
      </c>
      <c r="G551" s="87">
        <f>L528</f>
        <v>298967</v>
      </c>
      <c r="H551" s="87">
        <f>L533</f>
        <v>124524</v>
      </c>
      <c r="I551" s="87">
        <f>L538</f>
        <v>0</v>
      </c>
      <c r="J551" s="87">
        <f>L543</f>
        <v>195182</v>
      </c>
      <c r="K551" s="87">
        <f>SUM(F551:J551)</f>
        <v>2589426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7509841</v>
      </c>
      <c r="G552" s="89">
        <f t="shared" si="42"/>
        <v>934273</v>
      </c>
      <c r="H552" s="89">
        <f t="shared" si="42"/>
        <v>272875</v>
      </c>
      <c r="I552" s="89">
        <f t="shared" si="42"/>
        <v>0</v>
      </c>
      <c r="J552" s="89">
        <f t="shared" si="42"/>
        <v>609943</v>
      </c>
      <c r="K552" s="89">
        <f t="shared" si="42"/>
        <v>9326932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60740</v>
      </c>
      <c r="G562" s="18">
        <v>20645</v>
      </c>
      <c r="H562" s="18"/>
      <c r="I562" s="18"/>
      <c r="J562" s="18"/>
      <c r="K562" s="18"/>
      <c r="L562" s="88">
        <f>SUM(F562:K562)</f>
        <v>81385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8700</v>
      </c>
      <c r="G563" s="18">
        <v>5843</v>
      </c>
      <c r="H563" s="18"/>
      <c r="I563" s="18"/>
      <c r="J563" s="18"/>
      <c r="K563" s="18"/>
      <c r="L563" s="88">
        <f>SUM(F563:K563)</f>
        <v>14543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18560</v>
      </c>
      <c r="G564" s="18">
        <v>12464</v>
      </c>
      <c r="H564" s="18"/>
      <c r="I564" s="18"/>
      <c r="J564" s="18"/>
      <c r="K564" s="18"/>
      <c r="L564" s="88">
        <f>SUM(F564:K564)</f>
        <v>31024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88000</v>
      </c>
      <c r="G565" s="89">
        <f t="shared" si="44"/>
        <v>38952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126952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88000</v>
      </c>
      <c r="G571" s="89">
        <f t="shared" ref="G571:L571" si="46">G560+G565+G570</f>
        <v>38952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126952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15282</v>
      </c>
      <c r="G575" s="18"/>
      <c r="H575" s="18"/>
      <c r="I575" s="87">
        <f>SUM(F575:H575)</f>
        <v>15282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3082</v>
      </c>
      <c r="G579" s="18">
        <v>872</v>
      </c>
      <c r="H579" s="18">
        <v>1861</v>
      </c>
      <c r="I579" s="87">
        <f t="shared" si="47"/>
        <v>5815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925669</v>
      </c>
      <c r="G582" s="18">
        <v>261982</v>
      </c>
      <c r="H582" s="18">
        <v>558894</v>
      </c>
      <c r="I582" s="87">
        <f t="shared" si="47"/>
        <v>1746545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57386</v>
      </c>
      <c r="I584" s="87">
        <f t="shared" si="47"/>
        <v>57386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569750</v>
      </c>
      <c r="I591" s="18">
        <f>18148+161250</f>
        <v>179398</v>
      </c>
      <c r="J591" s="18">
        <f>344000+38565</f>
        <v>382565</v>
      </c>
      <c r="K591" s="104">
        <f t="shared" ref="K591:K597" si="48">SUM(H591:J591)</f>
        <v>1131713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323270</v>
      </c>
      <c r="I592" s="18">
        <v>91491</v>
      </c>
      <c r="J592" s="18">
        <v>195182</v>
      </c>
      <c r="K592" s="104">
        <f t="shared" si="48"/>
        <v>609943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>
        <v>6236</v>
      </c>
      <c r="J593" s="18">
        <v>13253</v>
      </c>
      <c r="K593" s="104">
        <f t="shared" si="48"/>
        <v>19489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23629</v>
      </c>
      <c r="J594" s="18">
        <v>50212</v>
      </c>
      <c r="K594" s="104">
        <f t="shared" si="48"/>
        <v>73841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652</v>
      </c>
      <c r="I595" s="18"/>
      <c r="J595" s="18"/>
      <c r="K595" s="104">
        <f t="shared" si="48"/>
        <v>652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10895</v>
      </c>
      <c r="I597" s="18">
        <v>3084</v>
      </c>
      <c r="J597" s="18">
        <v>6578</v>
      </c>
      <c r="K597" s="104">
        <f t="shared" si="48"/>
        <v>20557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904567</v>
      </c>
      <c r="I598" s="108">
        <f>SUM(I591:I597)</f>
        <v>303838</v>
      </c>
      <c r="J598" s="108">
        <f>SUM(J591:J597)</f>
        <v>647790</v>
      </c>
      <c r="K598" s="108">
        <f>SUM(K591:K597)</f>
        <v>1856195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241476+2871</f>
        <v>244347</v>
      </c>
      <c r="I604" s="18">
        <f>72392+68</f>
        <v>72460</v>
      </c>
      <c r="J604" s="18">
        <f>154328+29133+146</f>
        <v>183607</v>
      </c>
      <c r="K604" s="104">
        <f>SUM(H604:J604)</f>
        <v>500414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244347</v>
      </c>
      <c r="I605" s="108">
        <f>SUM(I602:I604)</f>
        <v>72460</v>
      </c>
      <c r="J605" s="108">
        <f>SUM(J602:J604)</f>
        <v>183607</v>
      </c>
      <c r="K605" s="108">
        <f>SUM(K602:K604)</f>
        <v>500414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7729</v>
      </c>
      <c r="G611" s="18">
        <v>1229</v>
      </c>
      <c r="H611" s="18">
        <v>28</v>
      </c>
      <c r="I611" s="18"/>
      <c r="J611" s="18"/>
      <c r="K611" s="18"/>
      <c r="L611" s="88">
        <f>SUM(F611:K611)</f>
        <v>8986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2187</v>
      </c>
      <c r="G612" s="18">
        <v>348</v>
      </c>
      <c r="H612" s="18">
        <v>8</v>
      </c>
      <c r="I612" s="18"/>
      <c r="J612" s="18"/>
      <c r="K612" s="18"/>
      <c r="L612" s="88">
        <f>SUM(F612:K612)</f>
        <v>2543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f>10558+4667</f>
        <v>15225</v>
      </c>
      <c r="G613" s="18">
        <f>742+2459</f>
        <v>3201</v>
      </c>
      <c r="H613" s="18">
        <v>17</v>
      </c>
      <c r="I613" s="18"/>
      <c r="J613" s="18"/>
      <c r="K613" s="18"/>
      <c r="L613" s="88">
        <f>SUM(F613:K613)</f>
        <v>18443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25141</v>
      </c>
      <c r="G614" s="108">
        <f t="shared" si="49"/>
        <v>4778</v>
      </c>
      <c r="H614" s="108">
        <f t="shared" si="49"/>
        <v>53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29972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3893645</v>
      </c>
      <c r="H617" s="109">
        <f>SUM(F52)</f>
        <v>3893645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194901</v>
      </c>
      <c r="H618" s="109">
        <f>SUM(G52)</f>
        <v>194901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590294</v>
      </c>
      <c r="H619" s="109">
        <f>SUM(H52)</f>
        <v>590294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877616</v>
      </c>
      <c r="H620" s="109">
        <f>SUM(I52)</f>
        <v>877616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511240</v>
      </c>
      <c r="H621" s="109">
        <f>SUM(J52)</f>
        <v>511240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1956087</v>
      </c>
      <c r="H622" s="109">
        <f>F476</f>
        <v>1956087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192259</v>
      </c>
      <c r="H623" s="109">
        <f>G476</f>
        <v>192259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49262</v>
      </c>
      <c r="H624" s="109">
        <f>H476</f>
        <v>49262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629485</v>
      </c>
      <c r="H625" s="109">
        <f>I476</f>
        <v>629485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511240</v>
      </c>
      <c r="H626" s="109">
        <f>J476</f>
        <v>511240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31273160</v>
      </c>
      <c r="H627" s="104">
        <f>SUM(F468)</f>
        <v>31273160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894958</v>
      </c>
      <c r="H628" s="104">
        <f>SUM(G468)</f>
        <v>894958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2240341</v>
      </c>
      <c r="H629" s="104">
        <f>SUM(H468)</f>
        <v>2240341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1150000</v>
      </c>
      <c r="H630" s="104">
        <f>SUM(I468)</f>
        <v>1150000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143446</v>
      </c>
      <c r="H631" s="104">
        <f>SUM(J468)</f>
        <v>143446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31153052</v>
      </c>
      <c r="H632" s="104">
        <f>SUM(F472)</f>
        <v>31153052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2308042</v>
      </c>
      <c r="H633" s="104">
        <f>SUM(H472)</f>
        <v>2308042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336274</v>
      </c>
      <c r="H634" s="104">
        <f>I369</f>
        <v>336274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817474</v>
      </c>
      <c r="H635" s="104">
        <f>SUM(G472)</f>
        <v>817474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1194490</v>
      </c>
      <c r="H636" s="104">
        <f>SUM(I472)</f>
        <v>1194490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143446</v>
      </c>
      <c r="H637" s="164">
        <f>SUM(J468)</f>
        <v>143446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162846</v>
      </c>
      <c r="H638" s="164">
        <f>SUM(J472)</f>
        <v>162846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3060</v>
      </c>
      <c r="H639" s="104">
        <f>SUM(F461)</f>
        <v>3060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508180</v>
      </c>
      <c r="H640" s="104">
        <f>SUM(G461)</f>
        <v>508180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511240</v>
      </c>
      <c r="H642" s="104">
        <f>SUM(I461)</f>
        <v>511240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3946</v>
      </c>
      <c r="H644" s="104">
        <f>H408</f>
        <v>3946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139500</v>
      </c>
      <c r="H645" s="104">
        <f>G408</f>
        <v>139500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143446</v>
      </c>
      <c r="H646" s="104">
        <f>L408</f>
        <v>143446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1856195</v>
      </c>
      <c r="H647" s="104">
        <f>L208+L226+L244</f>
        <v>1856195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500414</v>
      </c>
      <c r="H648" s="104">
        <f>(J257+J338)-(J255+J336)</f>
        <v>500414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904567</v>
      </c>
      <c r="H649" s="104">
        <f>H598</f>
        <v>904567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303838</v>
      </c>
      <c r="H650" s="104">
        <f>I598</f>
        <v>303838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647790</v>
      </c>
      <c r="H651" s="104">
        <f>J598</f>
        <v>647790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1150000</v>
      </c>
      <c r="H654" s="104">
        <f>K265+K346</f>
        <v>1150000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139500</v>
      </c>
      <c r="H655" s="104">
        <f>K266+K347</f>
        <v>139500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18324796</v>
      </c>
      <c r="G660" s="19">
        <f>(L229+L309+L359)</f>
        <v>4651150</v>
      </c>
      <c r="H660" s="19">
        <f>(L247+L328+L360)</f>
        <v>9978210</v>
      </c>
      <c r="I660" s="19">
        <f>SUM(F660:H660)</f>
        <v>32954156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242132.99818709833</v>
      </c>
      <c r="G661" s="19">
        <f>(L359/IF(SUM(L358:L360)=0,1,SUM(L358:L360))*(SUM(G97:G110)))</f>
        <v>68528.902976730766</v>
      </c>
      <c r="H661" s="19">
        <f>(L360/IF(SUM(L358:L360)=0,1,SUM(L358:L360))*(SUM(G97:G110)))</f>
        <v>146194.09883617095</v>
      </c>
      <c r="I661" s="19">
        <f>SUM(F661:H661)</f>
        <v>456856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903231</v>
      </c>
      <c r="G662" s="19">
        <f>(L226+L306)-(J226+J306)</f>
        <v>299978</v>
      </c>
      <c r="H662" s="19">
        <f>(L244+L325)-(J244+J325)</f>
        <v>639554</v>
      </c>
      <c r="I662" s="19">
        <f>SUM(F662:H662)</f>
        <v>1842763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1197366</v>
      </c>
      <c r="G663" s="199">
        <f>SUM(G575:G587)+SUM(I602:I604)+L612</f>
        <v>337857</v>
      </c>
      <c r="H663" s="199">
        <f>SUM(H575:H587)+SUM(J602:J604)+L613</f>
        <v>820191</v>
      </c>
      <c r="I663" s="19">
        <f>SUM(F663:H663)</f>
        <v>2355414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15982066.001812901</v>
      </c>
      <c r="G664" s="19">
        <f>G660-SUM(G661:G663)</f>
        <v>3944786.0970232692</v>
      </c>
      <c r="H664" s="19">
        <f>H660-SUM(H661:H663)</f>
        <v>8372270.9011638295</v>
      </c>
      <c r="I664" s="19">
        <f>I660-SUM(I661:I663)</f>
        <v>28299123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890.99</v>
      </c>
      <c r="G665" s="248">
        <v>246.35</v>
      </c>
      <c r="H665" s="248">
        <v>470.47</v>
      </c>
      <c r="I665" s="19">
        <f>SUM(F665:H665)</f>
        <v>1607.81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17937.419999999998</v>
      </c>
      <c r="G667" s="19">
        <f>ROUND(G664/G665,2)</f>
        <v>16012.93</v>
      </c>
      <c r="H667" s="19">
        <f>ROUND(H664/H665,2)</f>
        <v>17795.55</v>
      </c>
      <c r="I667" s="19">
        <f>ROUND(I664/I665,2)</f>
        <v>17601.04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-14.78</v>
      </c>
      <c r="I670" s="19">
        <f>SUM(F670:H670)</f>
        <v>-14.78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17937.419999999998</v>
      </c>
      <c r="G672" s="19">
        <f>ROUND((G664+G669)/(G665+G670),2)</f>
        <v>16012.93</v>
      </c>
      <c r="H672" s="19">
        <f>ROUND((H664+H669)/(H665+H670),2)</f>
        <v>18372.73</v>
      </c>
      <c r="I672" s="19">
        <f>ROUND((I664+I669)/(I665+I670),2)</f>
        <v>17764.34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Monadnock Regional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6628059</v>
      </c>
      <c r="C9" s="229">
        <f>'DOE25'!G197+'DOE25'!G215+'DOE25'!G233+'DOE25'!G276+'DOE25'!G295+'DOE25'!G314</f>
        <v>3598347</v>
      </c>
    </row>
    <row r="10" spans="1:3" x14ac:dyDescent="0.2">
      <c r="A10" t="s">
        <v>778</v>
      </c>
      <c r="B10" s="240">
        <v>6373795</v>
      </c>
      <c r="C10" s="240">
        <v>3367825</v>
      </c>
    </row>
    <row r="11" spans="1:3" x14ac:dyDescent="0.2">
      <c r="A11" t="s">
        <v>779</v>
      </c>
      <c r="B11" s="240">
        <v>236933</v>
      </c>
      <c r="C11" s="240">
        <v>226709</v>
      </c>
    </row>
    <row r="12" spans="1:3" x14ac:dyDescent="0.2">
      <c r="A12" t="s">
        <v>780</v>
      </c>
      <c r="B12" s="240">
        <v>17331</v>
      </c>
      <c r="C12" s="240">
        <v>3813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6628059</v>
      </c>
      <c r="C13" s="231">
        <f>SUM(C10:C12)</f>
        <v>3598347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3249543</v>
      </c>
      <c r="C18" s="229">
        <f>'DOE25'!G198+'DOE25'!G216+'DOE25'!G234+'DOE25'!G277+'DOE25'!G296+'DOE25'!G315</f>
        <v>2389483</v>
      </c>
    </row>
    <row r="19" spans="1:3" x14ac:dyDescent="0.2">
      <c r="A19" t="s">
        <v>778</v>
      </c>
      <c r="B19" s="240">
        <v>1547540</v>
      </c>
      <c r="C19" s="240">
        <v>785201</v>
      </c>
    </row>
    <row r="20" spans="1:3" x14ac:dyDescent="0.2">
      <c r="A20" t="s">
        <v>779</v>
      </c>
      <c r="B20" s="240">
        <v>1496003</v>
      </c>
      <c r="C20" s="240">
        <v>1513142</v>
      </c>
    </row>
    <row r="21" spans="1:3" x14ac:dyDescent="0.2">
      <c r="A21" t="s">
        <v>780</v>
      </c>
      <c r="B21" s="240">
        <v>206000</v>
      </c>
      <c r="C21" s="240">
        <v>91140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3249543</v>
      </c>
      <c r="C22" s="231">
        <f>SUM(C19:C21)</f>
        <v>2389483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807067</v>
      </c>
      <c r="C36" s="235">
        <f>'DOE25'!G200+'DOE25'!G218+'DOE25'!G236+'DOE25'!G279+'DOE25'!G298+'DOE25'!G317</f>
        <v>299962</v>
      </c>
    </row>
    <row r="37" spans="1:3" x14ac:dyDescent="0.2">
      <c r="A37" t="s">
        <v>778</v>
      </c>
      <c r="B37" s="240">
        <v>27000</v>
      </c>
      <c r="C37" s="240">
        <v>6652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780067</v>
      </c>
      <c r="C39" s="240">
        <v>293310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807067</v>
      </c>
      <c r="C40" s="231">
        <f>SUM(C37:C39)</f>
        <v>299962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6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Monadnock Regional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18586117</v>
      </c>
      <c r="D5" s="20">
        <f>SUM('DOE25'!L197:L200)+SUM('DOE25'!L215:L218)+SUM('DOE25'!L233:L236)-F5-G5</f>
        <v>18435720</v>
      </c>
      <c r="E5" s="243"/>
      <c r="F5" s="255">
        <f>SUM('DOE25'!J197:J200)+SUM('DOE25'!J215:J218)+SUM('DOE25'!J233:J236)</f>
        <v>91510</v>
      </c>
      <c r="G5" s="53">
        <f>SUM('DOE25'!K197:K200)+SUM('DOE25'!K215:K218)+SUM('DOE25'!K233:K236)</f>
        <v>58887</v>
      </c>
      <c r="H5" s="259"/>
    </row>
    <row r="6" spans="1:9" x14ac:dyDescent="0.2">
      <c r="A6" s="32">
        <v>2100</v>
      </c>
      <c r="B6" t="s">
        <v>800</v>
      </c>
      <c r="C6" s="245">
        <f t="shared" si="0"/>
        <v>2137955</v>
      </c>
      <c r="D6" s="20">
        <f>'DOE25'!L202+'DOE25'!L220+'DOE25'!L238-F6-G6</f>
        <v>2131981</v>
      </c>
      <c r="E6" s="243"/>
      <c r="F6" s="255">
        <f>'DOE25'!J202+'DOE25'!J220+'DOE25'!J238</f>
        <v>3455</v>
      </c>
      <c r="G6" s="53">
        <f>'DOE25'!K202+'DOE25'!K220+'DOE25'!K238</f>
        <v>2519</v>
      </c>
      <c r="H6" s="259"/>
    </row>
    <row r="7" spans="1:9" x14ac:dyDescent="0.2">
      <c r="A7" s="32">
        <v>2200</v>
      </c>
      <c r="B7" t="s">
        <v>833</v>
      </c>
      <c r="C7" s="245">
        <f t="shared" si="0"/>
        <v>705444</v>
      </c>
      <c r="D7" s="20">
        <f>'DOE25'!L203+'DOE25'!L221+'DOE25'!L239-F7-G7</f>
        <v>704159</v>
      </c>
      <c r="E7" s="243"/>
      <c r="F7" s="255">
        <f>'DOE25'!J203+'DOE25'!J221+'DOE25'!J239</f>
        <v>0</v>
      </c>
      <c r="G7" s="53">
        <f>'DOE25'!K203+'DOE25'!K221+'DOE25'!K239</f>
        <v>1285</v>
      </c>
      <c r="H7" s="259"/>
    </row>
    <row r="8" spans="1:9" x14ac:dyDescent="0.2">
      <c r="A8" s="32">
        <v>2300</v>
      </c>
      <c r="B8" t="s">
        <v>801</v>
      </c>
      <c r="C8" s="245">
        <f t="shared" si="0"/>
        <v>93759</v>
      </c>
      <c r="D8" s="243"/>
      <c r="E8" s="20">
        <f>'DOE25'!L204+'DOE25'!L222+'DOE25'!L240-F8-G8-D9-D11</f>
        <v>69639</v>
      </c>
      <c r="F8" s="255">
        <f>'DOE25'!J204+'DOE25'!J222+'DOE25'!J240</f>
        <v>7722</v>
      </c>
      <c r="G8" s="53">
        <f>'DOE25'!K204+'DOE25'!K222+'DOE25'!K240</f>
        <v>16398</v>
      </c>
      <c r="H8" s="259"/>
    </row>
    <row r="9" spans="1:9" x14ac:dyDescent="0.2">
      <c r="A9" s="32">
        <v>2310</v>
      </c>
      <c r="B9" t="s">
        <v>817</v>
      </c>
      <c r="C9" s="245">
        <f t="shared" si="0"/>
        <v>201939</v>
      </c>
      <c r="D9" s="244">
        <v>201939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28173</v>
      </c>
      <c r="D10" s="243"/>
      <c r="E10" s="244">
        <v>28173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245793</v>
      </c>
      <c r="D11" s="244">
        <v>245793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1569559</v>
      </c>
      <c r="D12" s="20">
        <f>'DOE25'!L205+'DOE25'!L223+'DOE25'!L241-F12-G12</f>
        <v>1559595</v>
      </c>
      <c r="E12" s="243"/>
      <c r="F12" s="255">
        <f>'DOE25'!J205+'DOE25'!J223+'DOE25'!J241</f>
        <v>1642</v>
      </c>
      <c r="G12" s="53">
        <f>'DOE25'!K205+'DOE25'!K223+'DOE25'!K241</f>
        <v>8322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852890</v>
      </c>
      <c r="D13" s="243"/>
      <c r="E13" s="20">
        <f>'DOE25'!L206+'DOE25'!L224+'DOE25'!L242-F13-G13</f>
        <v>844564</v>
      </c>
      <c r="F13" s="255">
        <f>'DOE25'!J206+'DOE25'!J224+'DOE25'!J242</f>
        <v>8175</v>
      </c>
      <c r="G13" s="53">
        <f>'DOE25'!K206+'DOE25'!K224+'DOE25'!K242</f>
        <v>151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2246678</v>
      </c>
      <c r="D14" s="20">
        <f>'DOE25'!L207+'DOE25'!L225+'DOE25'!L243-F14-G14</f>
        <v>2212802</v>
      </c>
      <c r="E14" s="243"/>
      <c r="F14" s="255">
        <f>'DOE25'!J207+'DOE25'!J225+'DOE25'!J243</f>
        <v>33847</v>
      </c>
      <c r="G14" s="53">
        <f>'DOE25'!K207+'DOE25'!K225+'DOE25'!K243</f>
        <v>29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1856195</v>
      </c>
      <c r="D15" s="20">
        <f>'DOE25'!L208+'DOE25'!L226+'DOE25'!L244-F15-G15</f>
        <v>1828973</v>
      </c>
      <c r="E15" s="243"/>
      <c r="F15" s="255">
        <f>'DOE25'!J208+'DOE25'!J226+'DOE25'!J244</f>
        <v>27222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1367223</v>
      </c>
      <c r="D16" s="243"/>
      <c r="E16" s="20">
        <f>'DOE25'!L209+'DOE25'!L227+'DOE25'!L245-F16-G16</f>
        <v>1043467</v>
      </c>
      <c r="F16" s="255">
        <f>'DOE25'!J209+'DOE25'!J227+'DOE25'!J245</f>
        <v>323756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504621</v>
      </c>
      <c r="D29" s="20">
        <f>'DOE25'!L358+'DOE25'!L359+'DOE25'!L360-'DOE25'!I367-F29-G29</f>
        <v>503605</v>
      </c>
      <c r="E29" s="243"/>
      <c r="F29" s="255">
        <f>'DOE25'!J358+'DOE25'!J359+'DOE25'!J360</f>
        <v>245</v>
      </c>
      <c r="G29" s="53">
        <f>'DOE25'!K358+'DOE25'!K359+'DOE25'!K360</f>
        <v>771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2281930</v>
      </c>
      <c r="D31" s="20">
        <f>'DOE25'!L290+'DOE25'!L309+'DOE25'!L328+'DOE25'!L333+'DOE25'!L334+'DOE25'!L335-F31-G31</f>
        <v>2278845</v>
      </c>
      <c r="E31" s="243"/>
      <c r="F31" s="255">
        <f>'DOE25'!J290+'DOE25'!J309+'DOE25'!J328+'DOE25'!J333+'DOE25'!J334+'DOE25'!J335</f>
        <v>3085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30103412</v>
      </c>
      <c r="E33" s="246">
        <f>SUM(E5:E31)</f>
        <v>1985843</v>
      </c>
      <c r="F33" s="246">
        <f>SUM(F5:F31)</f>
        <v>500659</v>
      </c>
      <c r="G33" s="246">
        <f>SUM(G5:G31)</f>
        <v>88362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1985843</v>
      </c>
      <c r="E35" s="249"/>
    </row>
    <row r="36" spans="2:8" ht="12" thickTop="1" x14ac:dyDescent="0.2">
      <c r="B36" t="s">
        <v>814</v>
      </c>
      <c r="D36" s="20">
        <f>D33</f>
        <v>30103412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Monadnock Regional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3004573</v>
      </c>
      <c r="D8" s="95">
        <f>'DOE25'!G9</f>
        <v>2329</v>
      </c>
      <c r="E8" s="95">
        <f>'DOE25'!H9</f>
        <v>62537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864509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173288</v>
      </c>
      <c r="E11" s="95">
        <f>'DOE25'!H12</f>
        <v>0</v>
      </c>
      <c r="F11" s="95">
        <f>'DOE25'!I12</f>
        <v>877616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19284</v>
      </c>
      <c r="E12" s="95">
        <f>'DOE25'!H13</f>
        <v>514082</v>
      </c>
      <c r="F12" s="95">
        <f>'DOE25'!I13</f>
        <v>0</v>
      </c>
      <c r="G12" s="95">
        <f>'DOE25'!J13</f>
        <v>511240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24563</v>
      </c>
      <c r="D13" s="95">
        <f>'DOE25'!G14</f>
        <v>0</v>
      </c>
      <c r="E13" s="95">
        <f>'DOE25'!H14</f>
        <v>13675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3893645</v>
      </c>
      <c r="D18" s="41">
        <f>SUM(D8:D17)</f>
        <v>194901</v>
      </c>
      <c r="E18" s="41">
        <f>SUM(E8:E17)</f>
        <v>590294</v>
      </c>
      <c r="F18" s="41">
        <f>SUM(F8:F17)</f>
        <v>877616</v>
      </c>
      <c r="G18" s="41">
        <f>SUM(G8:G17)</f>
        <v>511240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602018</v>
      </c>
      <c r="D21" s="95">
        <f>'DOE25'!G22</f>
        <v>1159</v>
      </c>
      <c r="E21" s="95">
        <f>'DOE25'!H22</f>
        <v>505219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607757</v>
      </c>
      <c r="D23" s="95">
        <f>'DOE25'!G24</f>
        <v>1483</v>
      </c>
      <c r="E23" s="95">
        <f>'DOE25'!H24</f>
        <v>2505</v>
      </c>
      <c r="F23" s="95">
        <f>'DOE25'!I24</f>
        <v>248131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727783</v>
      </c>
      <c r="D28" s="95">
        <f>'DOE25'!G29</f>
        <v>0</v>
      </c>
      <c r="E28" s="95">
        <f>'DOE25'!H29</f>
        <v>33308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1937558</v>
      </c>
      <c r="D31" s="41">
        <f>SUM(D21:D30)</f>
        <v>2642</v>
      </c>
      <c r="E31" s="41">
        <f>SUM(E21:E30)</f>
        <v>541032</v>
      </c>
      <c r="F31" s="41">
        <f>SUM(F21:F30)</f>
        <v>248131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345213</v>
      </c>
      <c r="D42" s="95">
        <f>'DOE25'!G43</f>
        <v>192259</v>
      </c>
      <c r="E42" s="95">
        <f>'DOE25'!H43</f>
        <v>49131</v>
      </c>
      <c r="F42" s="95">
        <f>'DOE25'!I43</f>
        <v>0</v>
      </c>
      <c r="G42" s="95">
        <f>'DOE25'!J43</f>
        <v>3060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508180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18164</v>
      </c>
      <c r="D48" s="95">
        <f>'DOE25'!G49</f>
        <v>0</v>
      </c>
      <c r="E48" s="95">
        <f>'DOE25'!H49</f>
        <v>131</v>
      </c>
      <c r="F48" s="95">
        <f>'DOE25'!I49</f>
        <v>629485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1592710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1956087</v>
      </c>
      <c r="D50" s="41">
        <f>SUM(D34:D49)</f>
        <v>192259</v>
      </c>
      <c r="E50" s="41">
        <f>SUM(E34:E49)</f>
        <v>49262</v>
      </c>
      <c r="F50" s="41">
        <f>SUM(F34:F49)</f>
        <v>629485</v>
      </c>
      <c r="G50" s="41">
        <f>SUM(G34:G49)</f>
        <v>511240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3893645</v>
      </c>
      <c r="D51" s="41">
        <f>D50+D31</f>
        <v>194901</v>
      </c>
      <c r="E51" s="41">
        <f>E50+E31</f>
        <v>590294</v>
      </c>
      <c r="F51" s="41">
        <f>F50+F31</f>
        <v>877616</v>
      </c>
      <c r="G51" s="41">
        <f>G50+G31</f>
        <v>511240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17796335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143987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690081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3946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456856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166882</v>
      </c>
      <c r="D61" s="95">
        <f>SUM('DOE25'!G98:G110)</f>
        <v>0</v>
      </c>
      <c r="E61" s="95">
        <f>SUM('DOE25'!H98:H110)</f>
        <v>12818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310869</v>
      </c>
      <c r="D62" s="130">
        <f>SUM(D57:D61)</f>
        <v>456856</v>
      </c>
      <c r="E62" s="130">
        <f>SUM(E57:E61)</f>
        <v>702899</v>
      </c>
      <c r="F62" s="130">
        <f>SUM(F57:F61)</f>
        <v>0</v>
      </c>
      <c r="G62" s="130">
        <f>SUM(G57:G61)</f>
        <v>3946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18107204</v>
      </c>
      <c r="D63" s="22">
        <f>D56+D62</f>
        <v>456856</v>
      </c>
      <c r="E63" s="22">
        <f>E56+E62</f>
        <v>702899</v>
      </c>
      <c r="F63" s="22">
        <f>F56+F62</f>
        <v>0</v>
      </c>
      <c r="G63" s="22">
        <f>G56+G62</f>
        <v>3946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9339409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2451625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8028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11799062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630701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292263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8558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2124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931522</v>
      </c>
      <c r="D78" s="130">
        <f>SUM(D72:D77)</f>
        <v>2124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12730584</v>
      </c>
      <c r="D81" s="130">
        <f>SUM(D79:D80)+D78+D70</f>
        <v>2124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433910</v>
      </c>
      <c r="D88" s="95">
        <f>SUM('DOE25'!G153:G161)</f>
        <v>435978</v>
      </c>
      <c r="E88" s="95">
        <f>SUM('DOE25'!H153:H161)</f>
        <v>1372521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3537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433910</v>
      </c>
      <c r="D91" s="131">
        <f>SUM(D85:D90)</f>
        <v>435978</v>
      </c>
      <c r="E91" s="131">
        <f>SUM(E85:E90)</f>
        <v>1376058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1150000</v>
      </c>
      <c r="G96" s="95">
        <f>'DOE25'!J179</f>
        <v>139500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1462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161384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1462</v>
      </c>
      <c r="D103" s="86">
        <f>SUM(D93:D102)</f>
        <v>0</v>
      </c>
      <c r="E103" s="86">
        <f>SUM(E93:E102)</f>
        <v>161384</v>
      </c>
      <c r="F103" s="86">
        <f>SUM(F93:F102)</f>
        <v>1150000</v>
      </c>
      <c r="G103" s="86">
        <f>SUM(G93:G102)</f>
        <v>139500</v>
      </c>
    </row>
    <row r="104" spans="1:7" ht="12.75" thickTop="1" thickBot="1" x14ac:dyDescent="0.25">
      <c r="A104" s="33" t="s">
        <v>764</v>
      </c>
      <c r="C104" s="86">
        <f>C63+C81+C91+C103</f>
        <v>31273160</v>
      </c>
      <c r="D104" s="86">
        <f>D63+D81+D91+D103</f>
        <v>894958</v>
      </c>
      <c r="E104" s="86">
        <f>E63+E81+E91+E103</f>
        <v>2240341</v>
      </c>
      <c r="F104" s="86">
        <f>F63+F81+F91+F103</f>
        <v>1150000</v>
      </c>
      <c r="G104" s="86">
        <f>G63+G81+G103</f>
        <v>143446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10446562</v>
      </c>
      <c r="D109" s="24" t="s">
        <v>288</v>
      </c>
      <c r="E109" s="95">
        <f>('DOE25'!L276)+('DOE25'!L295)+('DOE25'!L314)</f>
        <v>305589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7782715</v>
      </c>
      <c r="D110" s="24" t="s">
        <v>288</v>
      </c>
      <c r="E110" s="95">
        <f>('DOE25'!L277)+('DOE25'!L296)+('DOE25'!L315)</f>
        <v>349442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57386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299454</v>
      </c>
      <c r="D112" s="24" t="s">
        <v>288</v>
      </c>
      <c r="E112" s="95">
        <f>+('DOE25'!L279)+('DOE25'!L298)+('DOE25'!L317)</f>
        <v>971232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8800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18586117</v>
      </c>
      <c r="D115" s="86">
        <f>SUM(D109:D114)</f>
        <v>0</v>
      </c>
      <c r="E115" s="86">
        <f>SUM(E109:E114)</f>
        <v>1635063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2137955</v>
      </c>
      <c r="D118" s="24" t="s">
        <v>288</v>
      </c>
      <c r="E118" s="95">
        <f>+('DOE25'!L281)+('DOE25'!L300)+('DOE25'!L319)</f>
        <v>133248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705444</v>
      </c>
      <c r="D119" s="24" t="s">
        <v>288</v>
      </c>
      <c r="E119" s="95">
        <f>+('DOE25'!L282)+('DOE25'!L301)+('DOE25'!L320)</f>
        <v>302447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541491</v>
      </c>
      <c r="D120" s="24" t="s">
        <v>288</v>
      </c>
      <c r="E120" s="95">
        <f>+('DOE25'!L283)+('DOE25'!L302)+('DOE25'!L321)</f>
        <v>144903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1569559</v>
      </c>
      <c r="D121" s="24" t="s">
        <v>288</v>
      </c>
      <c r="E121" s="95">
        <f>+('DOE25'!L284)+('DOE25'!L303)+('DOE25'!L322)</f>
        <v>52263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852890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2246678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1856195</v>
      </c>
      <c r="D124" s="24" t="s">
        <v>288</v>
      </c>
      <c r="E124" s="95">
        <f>+('DOE25'!L287)+('DOE25'!L306)+('DOE25'!L325)</f>
        <v>13790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1367223</v>
      </c>
      <c r="D125" s="24" t="s">
        <v>288</v>
      </c>
      <c r="E125" s="95">
        <f>+('DOE25'!L288)+('DOE25'!L307)+('DOE25'!L326)</f>
        <v>216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817474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11277435</v>
      </c>
      <c r="D128" s="86">
        <f>SUM(D118:D127)</f>
        <v>817474</v>
      </c>
      <c r="E128" s="86">
        <f>SUM(E118:E127)</f>
        <v>646867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1194490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26112</v>
      </c>
      <c r="F134" s="95">
        <f>'DOE25'!K381</f>
        <v>0</v>
      </c>
      <c r="G134" s="95">
        <f>'DOE25'!K434</f>
        <v>162846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1150000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32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143414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-3946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1289500</v>
      </c>
      <c r="D144" s="141">
        <f>SUM(D130:D143)</f>
        <v>0</v>
      </c>
      <c r="E144" s="141">
        <f>SUM(E130:E143)</f>
        <v>26112</v>
      </c>
      <c r="F144" s="141">
        <f>SUM(F130:F143)</f>
        <v>1194490</v>
      </c>
      <c r="G144" s="141">
        <f>SUM(G130:G143)</f>
        <v>162846</v>
      </c>
    </row>
    <row r="145" spans="1:9" ht="12.75" thickTop="1" thickBot="1" x14ac:dyDescent="0.25">
      <c r="A145" s="33" t="s">
        <v>244</v>
      </c>
      <c r="C145" s="86">
        <f>(C115+C128+C144)</f>
        <v>31153052</v>
      </c>
      <c r="D145" s="86">
        <f>(D115+D128+D144)</f>
        <v>817474</v>
      </c>
      <c r="E145" s="86">
        <f>(E115+E128+E144)</f>
        <v>2308042</v>
      </c>
      <c r="F145" s="86">
        <f>(F115+F128+F144)</f>
        <v>1194490</v>
      </c>
      <c r="G145" s="86">
        <f>(G115+G128+G144)</f>
        <v>162846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Monadnock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17937</v>
      </c>
    </row>
    <row r="5" spans="1:4" x14ac:dyDescent="0.2">
      <c r="B5" t="s">
        <v>703</v>
      </c>
      <c r="C5" s="179">
        <f>IF('DOE25'!G665+'DOE25'!G670=0,0,ROUND('DOE25'!G672,0))</f>
        <v>16013</v>
      </c>
    </row>
    <row r="6" spans="1:4" x14ac:dyDescent="0.2">
      <c r="B6" t="s">
        <v>62</v>
      </c>
      <c r="C6" s="179">
        <f>IF('DOE25'!H665+'DOE25'!H670=0,0,ROUND('DOE25'!H672,0))</f>
        <v>18373</v>
      </c>
    </row>
    <row r="7" spans="1:4" x14ac:dyDescent="0.2">
      <c r="B7" t="s">
        <v>704</v>
      </c>
      <c r="C7" s="179">
        <f>IF('DOE25'!I665+'DOE25'!I670=0,0,ROUND('DOE25'!I672,0))</f>
        <v>17764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10752151</v>
      </c>
      <c r="D10" s="182">
        <f>ROUND((C10/$C$28)*100,1)</f>
        <v>33.1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8132157</v>
      </c>
      <c r="D11" s="182">
        <f>ROUND((C11/$C$28)*100,1)</f>
        <v>25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57386</v>
      </c>
      <c r="D12" s="182">
        <f>ROUND((C12/$C$28)*100,1)</f>
        <v>0.2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1270686</v>
      </c>
      <c r="D13" s="182">
        <f>ROUND((C13/$C$28)*100,1)</f>
        <v>3.9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2271203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1007891</v>
      </c>
      <c r="D16" s="182">
        <f t="shared" si="0"/>
        <v>3.1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2053833</v>
      </c>
      <c r="D17" s="182">
        <f t="shared" si="0"/>
        <v>6.3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1621822</v>
      </c>
      <c r="D18" s="182">
        <f t="shared" si="0"/>
        <v>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852890</v>
      </c>
      <c r="D19" s="182">
        <f t="shared" si="0"/>
        <v>2.6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2246678</v>
      </c>
      <c r="D20" s="182">
        <f t="shared" si="0"/>
        <v>6.9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1869985</v>
      </c>
      <c r="D21" s="182">
        <f t="shared" si="0"/>
        <v>5.8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8800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360618</v>
      </c>
      <c r="D27" s="182">
        <f t="shared" si="0"/>
        <v>1.1000000000000001</v>
      </c>
    </row>
    <row r="28" spans="1:4" x14ac:dyDescent="0.2">
      <c r="B28" s="187" t="s">
        <v>722</v>
      </c>
      <c r="C28" s="180">
        <f>SUM(C10:C27)</f>
        <v>32506100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1194490</v>
      </c>
    </row>
    <row r="30" spans="1:4" x14ac:dyDescent="0.2">
      <c r="B30" s="187" t="s">
        <v>728</v>
      </c>
      <c r="C30" s="180">
        <f>SUM(C28:C29)</f>
        <v>33700590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17796335</v>
      </c>
      <c r="D35" s="182">
        <f t="shared" ref="D35:D40" si="1">ROUND((C35/$C$41)*100,1)</f>
        <v>52.7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1017714</v>
      </c>
      <c r="D36" s="182">
        <f t="shared" si="1"/>
        <v>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11791034</v>
      </c>
      <c r="D37" s="182">
        <f t="shared" si="1"/>
        <v>34.9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941674</v>
      </c>
      <c r="D38" s="182">
        <f t="shared" si="1"/>
        <v>2.8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2245946</v>
      </c>
      <c r="D39" s="182">
        <f t="shared" si="1"/>
        <v>6.6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33792703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Monadnock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2017-09-05T17:02:08Z</cp:lastPrinted>
  <dcterms:created xsi:type="dcterms:W3CDTF">1997-12-04T19:04:30Z</dcterms:created>
  <dcterms:modified xsi:type="dcterms:W3CDTF">2017-11-29T17:44:10Z</dcterms:modified>
</cp:coreProperties>
</file>