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5" i="1" l="1"/>
  <c r="G507" i="1"/>
  <c r="I507" i="1" s="1"/>
  <c r="B163" i="2"/>
  <c r="G163" i="2" s="1"/>
  <c r="K501" i="1"/>
  <c r="K499" i="1"/>
  <c r="B158" i="2"/>
  <c r="G158" i="2" s="1"/>
  <c r="B157" i="2"/>
  <c r="G157" i="2" s="1"/>
  <c r="F498" i="1"/>
  <c r="H161" i="1"/>
  <c r="G97" i="1"/>
  <c r="J426" i="1"/>
  <c r="I426" i="1"/>
  <c r="H426" i="1"/>
  <c r="F110" i="1"/>
  <c r="H458" i="1"/>
  <c r="H440" i="1"/>
  <c r="H439" i="1"/>
  <c r="G459" i="1"/>
  <c r="G439" i="1"/>
  <c r="F459" i="1"/>
  <c r="I48" i="1"/>
  <c r="H48" i="1"/>
  <c r="H30" i="1"/>
  <c r="G40" i="1"/>
  <c r="K565" i="1"/>
  <c r="L523" i="1"/>
  <c r="F551" i="1" s="1"/>
  <c r="J290" i="1"/>
  <c r="G529" i="1"/>
  <c r="L541" i="1"/>
  <c r="J549" i="1"/>
  <c r="L255" i="1"/>
  <c r="D39" i="13"/>
  <c r="C40" i="12"/>
  <c r="B31" i="12"/>
  <c r="B22" i="12"/>
  <c r="C13" i="12"/>
  <c r="B13" i="12"/>
  <c r="H614" i="1"/>
  <c r="I614" i="1"/>
  <c r="J614" i="1"/>
  <c r="K595" i="1"/>
  <c r="K594" i="1"/>
  <c r="K593" i="1"/>
  <c r="I583" i="1"/>
  <c r="I582" i="1"/>
  <c r="L563" i="1"/>
  <c r="G565" i="1"/>
  <c r="L533" i="1"/>
  <c r="H551" i="1"/>
  <c r="J534" i="1"/>
  <c r="G534" i="1"/>
  <c r="H633" i="1"/>
  <c r="G474" i="1"/>
  <c r="F470" i="1"/>
  <c r="I367" i="1"/>
  <c r="I337" i="1"/>
  <c r="J337" i="1"/>
  <c r="G337" i="1"/>
  <c r="I328" i="1"/>
  <c r="L314" i="1"/>
  <c r="L315" i="1"/>
  <c r="K309" i="1"/>
  <c r="L300" i="1"/>
  <c r="C18" i="12"/>
  <c r="L288" i="1"/>
  <c r="E125" i="2" s="1"/>
  <c r="L284" i="1"/>
  <c r="K290" i="1"/>
  <c r="L276" i="1"/>
  <c r="L261" i="1"/>
  <c r="L260" i="1"/>
  <c r="C131" i="2"/>
  <c r="J256" i="1"/>
  <c r="H256" i="1"/>
  <c r="G256" i="1"/>
  <c r="F256" i="1"/>
  <c r="G6" i="13"/>
  <c r="L198" i="1"/>
  <c r="C11" i="10" s="1"/>
  <c r="K592" i="1"/>
  <c r="L543" i="1"/>
  <c r="J551" i="1"/>
  <c r="L285" i="1"/>
  <c r="L324" i="1"/>
  <c r="C45" i="2"/>
  <c r="G51" i="1"/>
  <c r="G623" i="1" s="1"/>
  <c r="F51" i="1"/>
  <c r="G622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 s="1"/>
  <c r="C68" i="2"/>
  <c r="B2" i="13"/>
  <c r="G13" i="13"/>
  <c r="F18" i="13"/>
  <c r="G18" i="13"/>
  <c r="L252" i="1"/>
  <c r="F19" i="13"/>
  <c r="G19" i="13"/>
  <c r="L253" i="1"/>
  <c r="D19" i="13"/>
  <c r="C19" i="13" s="1"/>
  <c r="L278" i="1"/>
  <c r="L283" i="1"/>
  <c r="E120" i="2" s="1"/>
  <c r="L295" i="1"/>
  <c r="L309" i="1" s="1"/>
  <c r="L297" i="1"/>
  <c r="L302" i="1"/>
  <c r="L307" i="1"/>
  <c r="L321" i="1"/>
  <c r="L326" i="1"/>
  <c r="L334" i="1"/>
  <c r="L335" i="1"/>
  <c r="L341" i="1"/>
  <c r="L342" i="1"/>
  <c r="L336" i="1"/>
  <c r="C10" i="13"/>
  <c r="L361" i="1"/>
  <c r="B4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7" i="1" s="1"/>
  <c r="L406" i="1"/>
  <c r="L266" i="1"/>
  <c r="J60" i="1"/>
  <c r="G56" i="2" s="1"/>
  <c r="G63" i="2" s="1"/>
  <c r="G59" i="2"/>
  <c r="G61" i="2"/>
  <c r="F2" i="11"/>
  <c r="C40" i="10"/>
  <c r="F60" i="1"/>
  <c r="C56" i="2"/>
  <c r="G60" i="1"/>
  <c r="D56" i="2" s="1"/>
  <c r="D63" i="2" s="1"/>
  <c r="H60" i="1"/>
  <c r="I60" i="1"/>
  <c r="F79" i="1"/>
  <c r="C57" i="2" s="1"/>
  <c r="C62" i="2" s="1"/>
  <c r="C63" i="2" s="1"/>
  <c r="F94" i="1"/>
  <c r="C58" i="2"/>
  <c r="F111" i="1"/>
  <c r="G111" i="1"/>
  <c r="H79" i="1"/>
  <c r="E57" i="2"/>
  <c r="H94" i="1"/>
  <c r="E58" i="2" s="1"/>
  <c r="E62" i="2" s="1"/>
  <c r="E63" i="2" s="1"/>
  <c r="H111" i="1"/>
  <c r="I111" i="1"/>
  <c r="J111" i="1"/>
  <c r="F121" i="1"/>
  <c r="F136" i="1"/>
  <c r="G121" i="1"/>
  <c r="G140" i="1" s="1"/>
  <c r="G136" i="1"/>
  <c r="H121" i="1"/>
  <c r="H136" i="1"/>
  <c r="H140" i="1" s="1"/>
  <c r="I121" i="1"/>
  <c r="I140" i="1" s="1"/>
  <c r="I193" i="1" s="1"/>
  <c r="I136" i="1"/>
  <c r="J121" i="1"/>
  <c r="J140" i="1" s="1"/>
  <c r="J136" i="1"/>
  <c r="F147" i="1"/>
  <c r="F162" i="1"/>
  <c r="G147" i="1"/>
  <c r="G162" i="1"/>
  <c r="H147" i="1"/>
  <c r="H162" i="1"/>
  <c r="I147" i="1"/>
  <c r="I162" i="1"/>
  <c r="L250" i="1"/>
  <c r="L254" i="1"/>
  <c r="L268" i="1"/>
  <c r="C142" i="2"/>
  <c r="L269" i="1"/>
  <c r="C143" i="2"/>
  <c r="L349" i="1"/>
  <c r="L350" i="1"/>
  <c r="E143" i="2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L351" i="1"/>
  <c r="K351" i="1"/>
  <c r="L536" i="1"/>
  <c r="I549" i="1" s="1"/>
  <c r="L537" i="1"/>
  <c r="L538" i="1"/>
  <c r="I551" i="1"/>
  <c r="E132" i="2"/>
  <c r="E131" i="2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C9" i="2"/>
  <c r="D9" i="2"/>
  <c r="D18" i="2" s="1"/>
  <c r="E9" i="2"/>
  <c r="F9" i="2"/>
  <c r="I440" i="1"/>
  <c r="J10" i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/>
  <c r="G12" i="2" s="1"/>
  <c r="C13" i="2"/>
  <c r="D13" i="2"/>
  <c r="E13" i="2"/>
  <c r="F13" i="2"/>
  <c r="I443" i="1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/>
  <c r="G22" i="2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I457" i="1"/>
  <c r="J37" i="1"/>
  <c r="G36" i="2" s="1"/>
  <c r="I459" i="1"/>
  <c r="J48" i="1" s="1"/>
  <c r="G47" i="2" s="1"/>
  <c r="C49" i="2"/>
  <c r="C50" i="2"/>
  <c r="E56" i="2"/>
  <c r="C59" i="2"/>
  <c r="D59" i="2"/>
  <c r="E59" i="2"/>
  <c r="F59" i="2"/>
  <c r="D60" i="2"/>
  <c r="C61" i="2"/>
  <c r="D61" i="2"/>
  <c r="E61" i="2"/>
  <c r="F61" i="2"/>
  <c r="C66" i="2"/>
  <c r="C70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 s="1"/>
  <c r="F81" i="2" s="1"/>
  <c r="C73" i="2"/>
  <c r="F73" i="2"/>
  <c r="C74" i="2"/>
  <c r="C75" i="2"/>
  <c r="C76" i="2"/>
  <c r="E76" i="2"/>
  <c r="E78" i="2" s="1"/>
  <c r="E81" i="2" s="1"/>
  <c r="F76" i="2"/>
  <c r="C77" i="2"/>
  <c r="D77" i="2"/>
  <c r="D78" i="2"/>
  <c r="D81" i="2" s="1"/>
  <c r="E77" i="2"/>
  <c r="F77" i="2"/>
  <c r="G77" i="2"/>
  <c r="G78" i="2" s="1"/>
  <c r="G81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D103" i="2" s="1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D115" i="2"/>
  <c r="F115" i="2"/>
  <c r="G115" i="2"/>
  <c r="F128" i="2"/>
  <c r="G128" i="2"/>
  <c r="E130" i="2"/>
  <c r="D134" i="2"/>
  <c r="D144" i="2"/>
  <c r="F134" i="2"/>
  <c r="K419" i="1"/>
  <c r="K434" i="1" s="1"/>
  <c r="G134" i="2" s="1"/>
  <c r="G144" i="2" s="1"/>
  <c r="G145" i="2" s="1"/>
  <c r="K427" i="1"/>
  <c r="K433" i="1"/>
  <c r="L263" i="1"/>
  <c r="C135" i="2" s="1"/>
  <c r="E135" i="2"/>
  <c r="L264" i="1"/>
  <c r="C136" i="2"/>
  <c r="L265" i="1"/>
  <c r="C137" i="2"/>
  <c r="E137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G500" i="1"/>
  <c r="C161" i="2" s="1"/>
  <c r="H500" i="1"/>
  <c r="D161" i="2" s="1"/>
  <c r="I500" i="1"/>
  <c r="E161" i="2" s="1"/>
  <c r="J500" i="1"/>
  <c r="F161" i="2" s="1"/>
  <c r="B162" i="2"/>
  <c r="G162" i="2" s="1"/>
  <c r="C162" i="2"/>
  <c r="D162" i="2"/>
  <c r="E162" i="2"/>
  <c r="F162" i="2"/>
  <c r="C163" i="2"/>
  <c r="D163" i="2"/>
  <c r="E163" i="2"/>
  <c r="F163" i="2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J619" i="1" s="1"/>
  <c r="I19" i="1"/>
  <c r="G620" i="1" s="1"/>
  <c r="F32" i="1"/>
  <c r="G32" i="1"/>
  <c r="H32" i="1"/>
  <c r="I32" i="1"/>
  <c r="G52" i="1"/>
  <c r="H618" i="1" s="1"/>
  <c r="H51" i="1"/>
  <c r="I51" i="1"/>
  <c r="G625" i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I192" i="1"/>
  <c r="H337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L413" i="1"/>
  <c r="L419" i="1" s="1"/>
  <c r="L434" i="1" s="1"/>
  <c r="G638" i="1" s="1"/>
  <c r="J638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H434" i="1" s="1"/>
  <c r="I433" i="1"/>
  <c r="J433" i="1"/>
  <c r="F446" i="1"/>
  <c r="G446" i="1"/>
  <c r="G640" i="1" s="1"/>
  <c r="J640" i="1" s="1"/>
  <c r="H446" i="1"/>
  <c r="F452" i="1"/>
  <c r="F461" i="1" s="1"/>
  <c r="H639" i="1" s="1"/>
  <c r="J639" i="1" s="1"/>
  <c r="G452" i="1"/>
  <c r="H452" i="1"/>
  <c r="H461" i="1" s="1"/>
  <c r="H641" i="1" s="1"/>
  <c r="J641" i="1" s="1"/>
  <c r="F460" i="1"/>
  <c r="G460" i="1"/>
  <c r="G461" i="1" s="1"/>
  <c r="H640" i="1" s="1"/>
  <c r="H460" i="1"/>
  <c r="G470" i="1"/>
  <c r="H470" i="1"/>
  <c r="I470" i="1"/>
  <c r="J470" i="1"/>
  <c r="H474" i="1"/>
  <c r="I474" i="1"/>
  <c r="J474" i="1"/>
  <c r="F517" i="1"/>
  <c r="G517" i="1"/>
  <c r="H517" i="1"/>
  <c r="I517" i="1"/>
  <c r="F534" i="1"/>
  <c r="F539" i="1"/>
  <c r="G539" i="1"/>
  <c r="H539" i="1"/>
  <c r="I539" i="1"/>
  <c r="J539" i="1"/>
  <c r="K539" i="1"/>
  <c r="F544" i="1"/>
  <c r="G544" i="1"/>
  <c r="I544" i="1"/>
  <c r="J544" i="1"/>
  <c r="K544" i="1"/>
  <c r="L557" i="1"/>
  <c r="L558" i="1"/>
  <c r="L559" i="1"/>
  <c r="F560" i="1"/>
  <c r="G560" i="1"/>
  <c r="G571" i="1" s="1"/>
  <c r="H560" i="1"/>
  <c r="H571" i="1" s="1"/>
  <c r="I560" i="1"/>
  <c r="J560" i="1"/>
  <c r="K560" i="1"/>
  <c r="K571" i="1" s="1"/>
  <c r="H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81" i="1"/>
  <c r="I584" i="1"/>
  <c r="I585" i="1"/>
  <c r="I586" i="1"/>
  <c r="I587" i="1"/>
  <c r="K596" i="1"/>
  <c r="K597" i="1"/>
  <c r="K602" i="1"/>
  <c r="K603" i="1"/>
  <c r="H628" i="1"/>
  <c r="H629" i="1"/>
  <c r="H630" i="1"/>
  <c r="H631" i="1"/>
  <c r="H636" i="1"/>
  <c r="H637" i="1"/>
  <c r="H638" i="1"/>
  <c r="G639" i="1"/>
  <c r="G641" i="1"/>
  <c r="G643" i="1"/>
  <c r="G644" i="1"/>
  <c r="G652" i="1"/>
  <c r="J652" i="1" s="1"/>
  <c r="H652" i="1"/>
  <c r="G653" i="1"/>
  <c r="H653" i="1"/>
  <c r="J653" i="1" s="1"/>
  <c r="G654" i="1"/>
  <c r="J654" i="1" s="1"/>
  <c r="H654" i="1"/>
  <c r="H655" i="1"/>
  <c r="J655" i="1" s="1"/>
  <c r="E103" i="2"/>
  <c r="G192" i="1"/>
  <c r="G624" i="1"/>
  <c r="J624" i="1" s="1"/>
  <c r="F62" i="2"/>
  <c r="L304" i="1"/>
  <c r="I598" i="1"/>
  <c r="H650" i="1"/>
  <c r="H476" i="1"/>
  <c r="H624" i="1"/>
  <c r="I579" i="1"/>
  <c r="I580" i="1"/>
  <c r="L319" i="1"/>
  <c r="F17" i="13"/>
  <c r="B36" i="12"/>
  <c r="H598" i="1"/>
  <c r="H649" i="1"/>
  <c r="C22" i="12"/>
  <c r="K534" i="1"/>
  <c r="J524" i="1"/>
  <c r="L527" i="1"/>
  <c r="G550" i="1" s="1"/>
  <c r="I256" i="1"/>
  <c r="J565" i="1"/>
  <c r="J571" i="1"/>
  <c r="C25" i="10"/>
  <c r="C132" i="2"/>
  <c r="H627" i="1"/>
  <c r="K337" i="1"/>
  <c r="H534" i="1"/>
  <c r="G614" i="1"/>
  <c r="K614" i="1"/>
  <c r="L542" i="1"/>
  <c r="J550" i="1" s="1"/>
  <c r="J552" i="1" s="1"/>
  <c r="L220" i="1"/>
  <c r="G524" i="1"/>
  <c r="G545" i="1" s="1"/>
  <c r="J309" i="1"/>
  <c r="F565" i="1"/>
  <c r="F571" i="1"/>
  <c r="F337" i="1"/>
  <c r="B40" i="12"/>
  <c r="I665" i="1"/>
  <c r="L296" i="1"/>
  <c r="G17" i="13"/>
  <c r="L333" i="1"/>
  <c r="E114" i="2" s="1"/>
  <c r="I534" i="1"/>
  <c r="I565" i="1"/>
  <c r="L611" i="1"/>
  <c r="F614" i="1"/>
  <c r="L316" i="1"/>
  <c r="E111" i="2" s="1"/>
  <c r="H635" i="1"/>
  <c r="K270" i="1"/>
  <c r="H25" i="13"/>
  <c r="C25" i="13" s="1"/>
  <c r="C32" i="10"/>
  <c r="L332" i="1"/>
  <c r="C9" i="13"/>
  <c r="C36" i="12"/>
  <c r="L306" i="1"/>
  <c r="L287" i="1"/>
  <c r="H529" i="1"/>
  <c r="H544" i="1"/>
  <c r="L325" i="1"/>
  <c r="J362" i="1"/>
  <c r="G362" i="1"/>
  <c r="G29" i="13"/>
  <c r="C11" i="13"/>
  <c r="I290" i="1"/>
  <c r="K604" i="1"/>
  <c r="C27" i="12"/>
  <c r="F7" i="13"/>
  <c r="L320" i="1"/>
  <c r="F6" i="13"/>
  <c r="L528" i="1"/>
  <c r="G551" i="1" s="1"/>
  <c r="F524" i="1"/>
  <c r="L544" i="1"/>
  <c r="L234" i="1"/>
  <c r="H369" i="1"/>
  <c r="I605" i="1"/>
  <c r="G290" i="1"/>
  <c r="K247" i="1"/>
  <c r="G8" i="13"/>
  <c r="F529" i="1"/>
  <c r="F15" i="13"/>
  <c r="G16" i="13"/>
  <c r="G14" i="13"/>
  <c r="F12" i="13"/>
  <c r="L200" i="1"/>
  <c r="G15" i="13"/>
  <c r="F14" i="13"/>
  <c r="L207" i="1"/>
  <c r="H211" i="1"/>
  <c r="L203" i="1"/>
  <c r="F8" i="13"/>
  <c r="L221" i="1"/>
  <c r="L358" i="1"/>
  <c r="D29" i="13" s="1"/>
  <c r="C29" i="13" s="1"/>
  <c r="L217" i="1"/>
  <c r="F369" i="1"/>
  <c r="L226" i="1"/>
  <c r="G650" i="1" s="1"/>
  <c r="J650" i="1" s="1"/>
  <c r="L218" i="1"/>
  <c r="L235" i="1"/>
  <c r="L223" i="1"/>
  <c r="J229" i="1"/>
  <c r="F309" i="1"/>
  <c r="L225" i="1"/>
  <c r="L227" i="1"/>
  <c r="I368" i="1"/>
  <c r="L243" i="1"/>
  <c r="L242" i="1"/>
  <c r="L244" i="1"/>
  <c r="G651" i="1" s="1"/>
  <c r="G247" i="1"/>
  <c r="L209" i="1"/>
  <c r="L241" i="1"/>
  <c r="L245" i="1"/>
  <c r="J605" i="1"/>
  <c r="B9" i="12"/>
  <c r="J211" i="1"/>
  <c r="B27" i="12"/>
  <c r="C9" i="12"/>
  <c r="I309" i="1"/>
  <c r="I338" i="1"/>
  <c r="I352" i="1" s="1"/>
  <c r="F31" i="2"/>
  <c r="K211" i="1"/>
  <c r="L239" i="1"/>
  <c r="F16" i="13"/>
  <c r="F328" i="1"/>
  <c r="J247" i="1"/>
  <c r="L522" i="1"/>
  <c r="F550" i="1" s="1"/>
  <c r="L298" i="1"/>
  <c r="L562" i="1"/>
  <c r="L565" i="1" s="1"/>
  <c r="L531" i="1"/>
  <c r="K256" i="1"/>
  <c r="L532" i="1"/>
  <c r="H550" i="1" s="1"/>
  <c r="H552" i="1" s="1"/>
  <c r="B18" i="12"/>
  <c r="A22" i="12" s="1"/>
  <c r="I529" i="1"/>
  <c r="L251" i="1"/>
  <c r="K605" i="1"/>
  <c r="G648" i="1" s="1"/>
  <c r="G476" i="1"/>
  <c r="H623" i="1" s="1"/>
  <c r="I52" i="1"/>
  <c r="H620" i="1" s="1"/>
  <c r="F130" i="2"/>
  <c r="F144" i="2" s="1"/>
  <c r="F145" i="2" s="1"/>
  <c r="F140" i="1"/>
  <c r="L305" i="1"/>
  <c r="L613" i="1"/>
  <c r="H663" i="1"/>
  <c r="E124" i="2"/>
  <c r="G211" i="1"/>
  <c r="F5" i="13"/>
  <c r="L199" i="1"/>
  <c r="C12" i="10"/>
  <c r="L208" i="1"/>
  <c r="H662" i="1"/>
  <c r="L222" i="1"/>
  <c r="G369" i="1"/>
  <c r="L205" i="1"/>
  <c r="L359" i="1"/>
  <c r="G661" i="1"/>
  <c r="L202" i="1"/>
  <c r="G328" i="1"/>
  <c r="G12" i="13"/>
  <c r="H362" i="1"/>
  <c r="L360" i="1"/>
  <c r="H524" i="1"/>
  <c r="H545" i="1" s="1"/>
  <c r="L322" i="1"/>
  <c r="L323" i="1"/>
  <c r="C26" i="10"/>
  <c r="G645" i="1"/>
  <c r="J645" i="1" s="1"/>
  <c r="I476" i="1"/>
  <c r="H625" i="1" s="1"/>
  <c r="J625" i="1" s="1"/>
  <c r="C31" i="2"/>
  <c r="E18" i="2"/>
  <c r="H169" i="1"/>
  <c r="D18" i="13"/>
  <c r="C18" i="13" s="1"/>
  <c r="D50" i="2"/>
  <c r="D51" i="2" s="1"/>
  <c r="C31" i="12"/>
  <c r="L282" i="1"/>
  <c r="C16" i="10"/>
  <c r="L301" i="1"/>
  <c r="L206" i="1"/>
  <c r="K229" i="1"/>
  <c r="F13" i="13"/>
  <c r="H328" i="1"/>
  <c r="F29" i="13"/>
  <c r="G309" i="1"/>
  <c r="G338" i="1"/>
  <c r="G352" i="1" s="1"/>
  <c r="L238" i="1"/>
  <c r="C118" i="2" s="1"/>
  <c r="L277" i="1"/>
  <c r="L290" i="1" s="1"/>
  <c r="L564" i="1"/>
  <c r="K529" i="1"/>
  <c r="K524" i="1"/>
  <c r="K545" i="1" s="1"/>
  <c r="I524" i="1"/>
  <c r="I545" i="1" s="1"/>
  <c r="L279" i="1"/>
  <c r="L433" i="1"/>
  <c r="F52" i="1"/>
  <c r="H617" i="1" s="1"/>
  <c r="F103" i="2"/>
  <c r="G112" i="1"/>
  <c r="L317" i="1"/>
  <c r="L328" i="1" s="1"/>
  <c r="L612" i="1"/>
  <c r="L614" i="1" s="1"/>
  <c r="G663" i="1"/>
  <c r="G62" i="2"/>
  <c r="E91" i="2"/>
  <c r="H112" i="1"/>
  <c r="D62" i="2"/>
  <c r="I434" i="1"/>
  <c r="L427" i="1"/>
  <c r="F112" i="1"/>
  <c r="I452" i="1"/>
  <c r="L401" i="1"/>
  <c r="C139" i="2"/>
  <c r="L393" i="1"/>
  <c r="C138" i="2"/>
  <c r="E50" i="2"/>
  <c r="E31" i="2"/>
  <c r="H52" i="1"/>
  <c r="H619" i="1"/>
  <c r="C119" i="2"/>
  <c r="C121" i="2"/>
  <c r="D12" i="13"/>
  <c r="C12" i="13"/>
  <c r="I369" i="1"/>
  <c r="H634" i="1"/>
  <c r="H290" i="1"/>
  <c r="L281" i="1"/>
  <c r="I247" i="1"/>
  <c r="L233" i="1"/>
  <c r="F229" i="1"/>
  <c r="H309" i="1"/>
  <c r="E113" i="2"/>
  <c r="C23" i="10"/>
  <c r="L526" i="1"/>
  <c r="L529" i="1"/>
  <c r="J529" i="1"/>
  <c r="J545" i="1"/>
  <c r="L286" i="1"/>
  <c r="E123" i="2"/>
  <c r="F290" i="1"/>
  <c r="J598" i="1"/>
  <c r="H651" i="1" s="1"/>
  <c r="K591" i="1"/>
  <c r="K598" i="1" s="1"/>
  <c r="G647" i="1" s="1"/>
  <c r="G5" i="13"/>
  <c r="H247" i="1"/>
  <c r="H257" i="1" s="1"/>
  <c r="H271" i="1" s="1"/>
  <c r="L240" i="1"/>
  <c r="L204" i="1"/>
  <c r="F211" i="1"/>
  <c r="F362" i="1"/>
  <c r="L216" i="1"/>
  <c r="C110" i="2"/>
  <c r="I229" i="1"/>
  <c r="I571" i="1"/>
  <c r="E144" i="2"/>
  <c r="F247" i="1"/>
  <c r="E109" i="2"/>
  <c r="C125" i="2"/>
  <c r="F662" i="1"/>
  <c r="I211" i="1"/>
  <c r="I257" i="1" s="1"/>
  <c r="I271" i="1" s="1"/>
  <c r="L197" i="1"/>
  <c r="L362" i="1"/>
  <c r="K328" i="1"/>
  <c r="G31" i="13"/>
  <c r="F474" i="1"/>
  <c r="F476" i="1"/>
  <c r="H622" i="1" s="1"/>
  <c r="J622" i="1" s="1"/>
  <c r="H632" i="1"/>
  <c r="L270" i="1"/>
  <c r="I112" i="1"/>
  <c r="F56" i="2"/>
  <c r="F63" i="2" s="1"/>
  <c r="C35" i="10"/>
  <c r="C29" i="10"/>
  <c r="C130" i="2"/>
  <c r="H229" i="1"/>
  <c r="L215" i="1"/>
  <c r="L229" i="1" s="1"/>
  <c r="G660" i="1" s="1"/>
  <c r="J328" i="1"/>
  <c r="J338" i="1"/>
  <c r="J352" i="1" s="1"/>
  <c r="F663" i="1"/>
  <c r="H605" i="1"/>
  <c r="L303" i="1"/>
  <c r="E121" i="2" s="1"/>
  <c r="L337" i="1"/>
  <c r="G103" i="2"/>
  <c r="C103" i="2"/>
  <c r="C51" i="2"/>
  <c r="F50" i="2"/>
  <c r="F51" i="2" s="1"/>
  <c r="I446" i="1"/>
  <c r="G642" i="1" s="1"/>
  <c r="J642" i="1" s="1"/>
  <c r="J14" i="1"/>
  <c r="G13" i="2" s="1"/>
  <c r="F18" i="2"/>
  <c r="L382" i="1"/>
  <c r="G636" i="1" s="1"/>
  <c r="J636" i="1" s="1"/>
  <c r="F85" i="2"/>
  <c r="F91" i="2" s="1"/>
  <c r="I169" i="1"/>
  <c r="D85" i="2"/>
  <c r="D91" i="2" s="1"/>
  <c r="G169" i="1"/>
  <c r="L256" i="1"/>
  <c r="L236" i="1"/>
  <c r="C112" i="2" s="1"/>
  <c r="C13" i="10"/>
  <c r="G229" i="1"/>
  <c r="G257" i="1"/>
  <c r="G271" i="1" s="1"/>
  <c r="G7" i="13"/>
  <c r="D7" i="13" s="1"/>
  <c r="C7" i="13" s="1"/>
  <c r="I362" i="1"/>
  <c r="G634" i="1"/>
  <c r="K362" i="1"/>
  <c r="L224" i="1"/>
  <c r="C122" i="2" s="1"/>
  <c r="F22" i="13"/>
  <c r="C22" i="13" s="1"/>
  <c r="J434" i="1"/>
  <c r="F434" i="1"/>
  <c r="H408" i="1"/>
  <c r="H644" i="1" s="1"/>
  <c r="J644" i="1" s="1"/>
  <c r="F169" i="1"/>
  <c r="C85" i="2"/>
  <c r="C91" i="2" s="1"/>
  <c r="L521" i="1"/>
  <c r="L560" i="1"/>
  <c r="L571" i="1" s="1"/>
  <c r="G434" i="1"/>
  <c r="F192" i="1"/>
  <c r="C78" i="2"/>
  <c r="C81" i="2"/>
  <c r="I460" i="1"/>
  <c r="J43" i="1"/>
  <c r="G42" i="2" s="1"/>
  <c r="C18" i="2"/>
  <c r="L539" i="1"/>
  <c r="I550" i="1"/>
  <c r="J112" i="1"/>
  <c r="C114" i="2"/>
  <c r="C24" i="10"/>
  <c r="D17" i="13"/>
  <c r="C17" i="13"/>
  <c r="D6" i="13"/>
  <c r="C6" i="13"/>
  <c r="F661" i="1"/>
  <c r="E51" i="2"/>
  <c r="D127" i="2"/>
  <c r="D128" i="2" s="1"/>
  <c r="D145" i="2" s="1"/>
  <c r="E119" i="2"/>
  <c r="C111" i="2"/>
  <c r="E112" i="2"/>
  <c r="H661" i="1"/>
  <c r="I661" i="1" s="1"/>
  <c r="H549" i="1"/>
  <c r="C39" i="10"/>
  <c r="I461" i="1"/>
  <c r="H642" i="1"/>
  <c r="F193" i="1"/>
  <c r="G627" i="1"/>
  <c r="J627" i="1" s="1"/>
  <c r="G549" i="1"/>
  <c r="C36" i="10"/>
  <c r="E118" i="2"/>
  <c r="F549" i="1"/>
  <c r="L524" i="1"/>
  <c r="L211" i="1"/>
  <c r="F31" i="13"/>
  <c r="G630" i="1"/>
  <c r="J630" i="1" s="1"/>
  <c r="C27" i="10"/>
  <c r="G635" i="1"/>
  <c r="J635" i="1" s="1"/>
  <c r="F503" i="1"/>
  <c r="K503" i="1" s="1"/>
  <c r="K496" i="1"/>
  <c r="K497" i="1"/>
  <c r="B156" i="2"/>
  <c r="G156" i="2" s="1"/>
  <c r="K502" i="1"/>
  <c r="A40" i="12"/>
  <c r="A31" i="12"/>
  <c r="J651" i="1"/>
  <c r="I663" i="1"/>
  <c r="L534" i="1"/>
  <c r="F545" i="1"/>
  <c r="G552" i="1"/>
  <c r="J476" i="1"/>
  <c r="H626" i="1" s="1"/>
  <c r="J634" i="1"/>
  <c r="F338" i="1"/>
  <c r="F352" i="1" s="1"/>
  <c r="E122" i="2"/>
  <c r="E128" i="2" s="1"/>
  <c r="A13" i="12"/>
  <c r="H338" i="1"/>
  <c r="H352" i="1" s="1"/>
  <c r="K338" i="1"/>
  <c r="K352" i="1" s="1"/>
  <c r="C18" i="10"/>
  <c r="C15" i="10"/>
  <c r="L247" i="1"/>
  <c r="H660" i="1"/>
  <c r="H664" i="1" s="1"/>
  <c r="H667" i="1" s="1"/>
  <c r="F257" i="1"/>
  <c r="F271" i="1"/>
  <c r="C17" i="10"/>
  <c r="D15" i="13"/>
  <c r="C15" i="13" s="1"/>
  <c r="F33" i="13"/>
  <c r="E16" i="13"/>
  <c r="C16" i="13"/>
  <c r="C21" i="10"/>
  <c r="E8" i="13"/>
  <c r="E33" i="13" s="1"/>
  <c r="D35" i="13" s="1"/>
  <c r="C123" i="2"/>
  <c r="C120" i="2"/>
  <c r="C124" i="2"/>
  <c r="E13" i="13"/>
  <c r="C13" i="13" s="1"/>
  <c r="G662" i="1"/>
  <c r="I662" i="1" s="1"/>
  <c r="L257" i="1"/>
  <c r="L271" i="1" s="1"/>
  <c r="G632" i="1" s="1"/>
  <c r="J632" i="1" s="1"/>
  <c r="C10" i="10"/>
  <c r="K257" i="1"/>
  <c r="K271" i="1"/>
  <c r="J257" i="1"/>
  <c r="H648" i="1" s="1"/>
  <c r="J648" i="1" s="1"/>
  <c r="G33" i="13"/>
  <c r="F660" i="1"/>
  <c r="F664" i="1"/>
  <c r="F667" i="1" s="1"/>
  <c r="D14" i="13"/>
  <c r="C14" i="13" s="1"/>
  <c r="C19" i="10"/>
  <c r="C28" i="10" s="1"/>
  <c r="H647" i="1"/>
  <c r="J647" i="1"/>
  <c r="C20" i="10"/>
  <c r="G649" i="1"/>
  <c r="J649" i="1" s="1"/>
  <c r="I660" i="1"/>
  <c r="C109" i="2"/>
  <c r="C115" i="2"/>
  <c r="D5" i="13"/>
  <c r="K498" i="1"/>
  <c r="F500" i="1"/>
  <c r="B159" i="2"/>
  <c r="G159" i="2" s="1"/>
  <c r="J623" i="1"/>
  <c r="B160" i="2"/>
  <c r="G160" i="2"/>
  <c r="K495" i="1"/>
  <c r="C8" i="13"/>
  <c r="H672" i="1"/>
  <c r="C6" i="10" s="1"/>
  <c r="C128" i="2"/>
  <c r="G664" i="1"/>
  <c r="C5" i="13"/>
  <c r="B161" i="2"/>
  <c r="G161" i="2" s="1"/>
  <c r="K500" i="1"/>
  <c r="G667" i="1"/>
  <c r="G672" i="1"/>
  <c r="C5" i="10" s="1"/>
  <c r="D104" i="2"/>
  <c r="C38" i="10"/>
  <c r="G193" i="1"/>
  <c r="G628" i="1" s="1"/>
  <c r="J628" i="1" s="1"/>
  <c r="C41" i="10"/>
  <c r="D37" i="10" s="1"/>
  <c r="D39" i="10"/>
  <c r="D40" i="10"/>
  <c r="D38" i="10"/>
  <c r="L545" i="1" l="1"/>
  <c r="K551" i="1"/>
  <c r="I664" i="1"/>
  <c r="D19" i="10"/>
  <c r="D17" i="10"/>
  <c r="D26" i="10"/>
  <c r="D21" i="10"/>
  <c r="D24" i="10"/>
  <c r="D25" i="10"/>
  <c r="D16" i="10"/>
  <c r="D13" i="10"/>
  <c r="D23" i="10"/>
  <c r="C30" i="10"/>
  <c r="D18" i="10"/>
  <c r="D20" i="10"/>
  <c r="D15" i="10"/>
  <c r="D22" i="10"/>
  <c r="D27" i="10"/>
  <c r="D10" i="10"/>
  <c r="D12" i="10"/>
  <c r="D11" i="10"/>
  <c r="D36" i="10"/>
  <c r="F672" i="1"/>
  <c r="C4" i="10" s="1"/>
  <c r="J271" i="1"/>
  <c r="J618" i="1"/>
  <c r="J193" i="1"/>
  <c r="E104" i="2"/>
  <c r="C140" i="2"/>
  <c r="C141" i="2" s="1"/>
  <c r="L408" i="1"/>
  <c r="F104" i="2"/>
  <c r="J617" i="1"/>
  <c r="G104" i="2"/>
  <c r="D35" i="10"/>
  <c r="D41" i="10" s="1"/>
  <c r="D31" i="13"/>
  <c r="L338" i="1"/>
  <c r="L352" i="1" s="1"/>
  <c r="G633" i="1" s="1"/>
  <c r="J633" i="1" s="1"/>
  <c r="J620" i="1"/>
  <c r="G21" i="2"/>
  <c r="G31" i="2" s="1"/>
  <c r="J32" i="1"/>
  <c r="G8" i="2"/>
  <c r="G18" i="2" s="1"/>
  <c r="J19" i="1"/>
  <c r="G621" i="1" s="1"/>
  <c r="G38" i="2"/>
  <c r="G50" i="2" s="1"/>
  <c r="G51" i="2" s="1"/>
  <c r="J51" i="1"/>
  <c r="F552" i="1"/>
  <c r="K550" i="1"/>
  <c r="C144" i="2"/>
  <c r="C145" i="2" s="1"/>
  <c r="I552" i="1"/>
  <c r="K549" i="1"/>
  <c r="H193" i="1"/>
  <c r="G629" i="1" s="1"/>
  <c r="J629" i="1" s="1"/>
  <c r="C104" i="2"/>
  <c r="E110" i="2"/>
  <c r="E115" i="2" s="1"/>
  <c r="E145" i="2" s="1"/>
  <c r="H33" i="13"/>
  <c r="B164" i="2"/>
  <c r="G164" i="2" s="1"/>
  <c r="K552" i="1" l="1"/>
  <c r="J52" i="1"/>
  <c r="H621" i="1" s="1"/>
  <c r="J621" i="1" s="1"/>
  <c r="G626" i="1"/>
  <c r="J626" i="1" s="1"/>
  <c r="C31" i="13"/>
  <c r="D33" i="13"/>
  <c r="D36" i="13" s="1"/>
  <c r="G631" i="1"/>
  <c r="J631" i="1" s="1"/>
  <c r="G646" i="1"/>
  <c r="G637" i="1"/>
  <c r="J637" i="1" s="1"/>
  <c r="H646" i="1"/>
  <c r="D28" i="10"/>
  <c r="I667" i="1"/>
  <c r="I672" i="1"/>
  <c r="C7" i="10" s="1"/>
  <c r="J646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<sst xmlns="http://schemas.openxmlformats.org/spreadsheetml/2006/main" count="3958" uniqueCount="915">
  <si>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</si>
  <si>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</si>
  <si>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</si>
  <si>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</si>
  <si>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</si>
  <si>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</si>
  <si>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</si>
  <si>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</si>
  <si>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</si>
  <si>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</si>
  <si>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</si>
  <si>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</si>
  <si>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</si>
  <si>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</si>
  <si>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</si>
  <si>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</si>
  <si>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</si>
  <si>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</si>
  <si>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</si>
  <si>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</si>
  <si>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</si>
  <si>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</si>
  <si>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</si>
  <si>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</si>
  <si>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</si>
  <si>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</si>
  <si>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</si>
  <si>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</si>
  <si>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</si>
  <si>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</si>
  <si>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</si>
  <si>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</si>
  <si>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</si>
  <si>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</si>
  <si>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</si>
  <si>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</si>
  <si>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</si>
  <si>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</si>
  <si>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</si>
  <si>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</si>
  <si>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</si>
  <si>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</si>
  <si>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</si>
  <si>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</si>
  <si>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</si>
  <si>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</si>
  <si>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</si>
  <si>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</si>
  <si>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</si>
  <si>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</si>
  <si>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</si>
  <si>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</si>
  <si>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</si>
  <si>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</si>
  <si>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</si>
  <si>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</si>
  <si>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</si>
  <si>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</si>
  <si>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</si>
  <si>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</si>
  <si>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</si>
  <si>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</si>
  <si>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</si>
  <si>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</si>
  <si>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</si>
  <si>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</si>
  <si>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</si>
  <si>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</si>
  <si>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</si>
  <si>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</si>
  <si>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</si>
  <si>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</si>
  <si>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</si>
  <si>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</si>
  <si>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</si>
  <si>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</si>
  <si>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</si>
  <si>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</si>
  <si>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</si>
  <si>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</si>
  <si>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</si>
  <si>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</si>
  <si>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</si>
  <si>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</si>
  <si>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</si>
  <si>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</si>
  <si>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</si>
  <si>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</si>
  <si>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</si>
  <si>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</si>
  <si>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</si>
  <si>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</si>
  <si>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</si>
  <si>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</si>
  <si>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</si>
  <si>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</si>
  <si>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</si>
  <si>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</si>
  <si>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</si>
  <si>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</si>
  <si>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</si>
  <si>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</si>
  <si>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</si>
  <si>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</si>
  <si>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</si>
  <si>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</si>
  <si>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</si>
  <si>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</si>
  <si>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</si>
  <si>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</si>
  <si>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</si>
  <si>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</si>
  <si>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</si>
  <si>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</si>
  <si>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</si>
  <si>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</si>
  <si>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</si>
  <si>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</si>
  <si>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</si>
  <si>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</si>
  <si>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</si>
  <si>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</si>
  <si>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</si>
  <si>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</si>
  <si>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</si>
  <si>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</si>
  <si>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</si>
  <si>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</si>
  <si>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</si>
  <si>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</si>
  <si>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</si>
  <si>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</si>
  <si>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</si>
  <si>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</si>
  <si>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</si>
  <si>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</si>
  <si>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</si>
  <si>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</si>
  <si>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</si>
  <si>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</si>
  <si>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</si>
  <si>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</si>
  <si>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</si>
  <si>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</si>
  <si>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</si>
  <si>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</si>
  <si>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</si>
  <si>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</si>
  <si>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</si>
  <si>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</si>
  <si>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</si>
  <si>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</si>
  <si>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</si>
  <si>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</si>
  <si>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</si>
  <si>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</si>
  <si>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</si>
  <si>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</si>
  <si>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</si>
  <si>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</si>
  <si>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</si>
  <si>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</si>
  <si>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</si>
  <si>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</si>
  <si>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</si>
  <si>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</si>
  <si>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</si>
  <si>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</si>
  <si>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</si>
  <si>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</si>
  <si>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</si>
  <si>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</si>
  <si>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</si>
  <si>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</si>
  <si>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</si>
  <si>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</si>
  <si>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</si>
  <si>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</si>
  <si>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</si>
  <si>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</si>
  <si>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</si>
  <si>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</si>
  <si>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</si>
  <si>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</si>
  <si>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</si>
  <si>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</si>
  <si>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</si>
  <si>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</si>
  <si>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</si>
  <si>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</si>
  <si>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</si>
  <si>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</si>
  <si>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</si>
  <si>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</si>
  <si>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</si>
  <si>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</si>
  <si>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</si>
  <si>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</si>
  <si>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</si>
  <si>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</si>
  <si>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</si>
  <si>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</si>
  <si>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</si>
  <si>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</si>
  <si>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</si>
  <si>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</si>
  <si>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</si>
  <si>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</si>
  <si>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</si>
  <si>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</si>
  <si>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</si>
  <si>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</si>
  <si>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</si>
  <si>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</si>
  <si>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</si>
  <si>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</si>
  <si>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</si>
  <si>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</si>
  <si>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</si>
  <si>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</si>
  <si>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</si>
  <si>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</si>
  <si>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</si>
  <si>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</si>
  <si>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</si>
  <si>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</si>
  <si>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</si>
  <si>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</si>
  <si>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</si>
  <si>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</si>
  <si>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</si>
  <si>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</si>
  <si>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</si>
  <si>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</si>
  <si>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</si>
  <si>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</si>
  <si>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</si>
  <si>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</si>
  <si>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</si>
  <si>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</si>
  <si>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</si>
  <si>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</si>
  <si>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</si>
  <si>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</si>
  <si>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</si>
  <si>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</si>
  <si>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</si>
  <si>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</si>
  <si>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</si>
  <si>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</si>
  <si>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</si>
  <si>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</si>
  <si>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</si>
  <si>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</si>
  <si>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</si>
  <si>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</si>
  <si>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</si>
  <si>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</si>
  <si>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</si>
  <si>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</si>
  <si>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</si>
  <si>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</si>
  <si>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</si>
  <si>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</si>
  <si>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</si>
  <si>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</si>
  <si>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</si>
  <si>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</si>
  <si>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</si>
  <si>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</si>
  <si>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</si>
  <si>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</si>
  <si>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</si>
  <si>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</si>
  <si>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</si>
  <si>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</si>
  <si>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</si>
  <si>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</si>
  <si>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</si>
  <si>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</si>
  <si>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</si>
  <si>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</si>
  <si>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</si>
  <si>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</si>
  <si>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</si>
  <si>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</si>
  <si>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</si>
  <si>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</si>
  <si>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</si>
  <si>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</si>
  <si>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</si>
  <si>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</si>
  <si>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</si>
  <si>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</si>
  <si>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</si>
  <si>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</si>
  <si>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</si>
  <si>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</si>
  <si>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</si>
  <si>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</si>
  <si>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</si>
  <si>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</si>
  <si>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</si>
  <si>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</si>
  <si>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</si>
  <si>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</si>
  <si>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</si>
  <si>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</si>
  <si>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</si>
  <si>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</si>
  <si>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</si>
  <si>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</si>
  <si>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</si>
  <si>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</si>
  <si>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</si>
  <si>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</si>
  <si>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</si>
  <si>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</si>
  <si>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</si>
  <si>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</si>
  <si>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</si>
  <si>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</si>
  <si>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</si>
  <si>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</si>
  <si>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</si>
  <si>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</si>
  <si>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</si>
  <si>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</si>
  <si>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</si>
  <si>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</si>
  <si>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</si>
  <si>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</si>
  <si>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</si>
  <si>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</si>
  <si>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</si>
  <si>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</si>
  <si>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</si>
  <si>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</si>
  <si>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</si>
  <si>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</si>
  <si>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</si>
  <si>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</si>
  <si>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</si>
  <si>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</si>
  <si>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</si>
  <si>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</si>
  <si>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</si>
  <si>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</si>
  <si>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</si>
  <si>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</si>
  <si>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</si>
  <si>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</si>
  <si>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</si>
  <si>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</si>
  <si>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</si>
  <si>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</si>
  <si>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</si>
  <si>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</si>
  <si>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</si>
  <si>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</si>
  <si>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</si>
  <si>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</si>
  <si>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</si>
  <si>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</si>
  <si>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</si>
  <si>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</si>
  <si>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</si>
  <si>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</si>
  <si>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</si>
  <si>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</si>
  <si>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</si>
  <si>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</si>
  <si>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</si>
  <si>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</si>
  <si>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</si>
  <si>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</si>
  <si>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</si>
  <si>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</si>
  <si>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</si>
  <si>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</si>
  <si>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</si>
  <si>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</si>
  <si>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</si>
  <si>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</si>
  <si>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</si>
  <si>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</si>
  <si>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</si>
  <si>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</si>
  <si>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</si>
  <si>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</si>
  <si>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</si>
  <si>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</si>
  <si>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</si>
  <si>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</si>
  <si>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</si>
  <si>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</si>
  <si>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</si>
  <si>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</si>
  <si>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</si>
  <si>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</si>
  <si>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</si>
  <si>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</si>
  <si>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</si>
  <si>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</si>
  <si>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</si>
  <si>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</si>
  <si>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</si>
  <si>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</si>
  <si>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</si>
  <si>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</si>
  <si>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</si>
  <si>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</si>
  <si>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</si>
  <si>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</si>
  <si>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</si>
  <si>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</si>
  <si>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</si>
  <si>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</si>
  <si>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</si>
  <si>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</si>
  <si>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</si>
  <si>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</si>
  <si>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</si>
  <si>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</si>
  <si>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</si>
  <si>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</si>
  <si>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</si>
  <si>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</si>
  <si>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</si>
  <si>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</si>
  <si>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</si>
  <si>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</si>
  <si>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</si>
  <si>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</si>
  <si>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</si>
  <si>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</si>
  <si>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</si>
  <si>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</si>
  <si>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</si>
  <si>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</si>
  <si>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</si>
  <si>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</si>
  <si>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</si>
  <si>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</si>
  <si>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</si>
  <si>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</si>
  <si>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</si>
  <si>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</si>
  <si>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</si>
  <si>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</si>
  <si>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</si>
  <si>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</si>
  <si>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</si>
  <si>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</si>
  <si>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</si>
  <si>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</si>
  <si>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</si>
  <si>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</si>
  <si>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</si>
  <si>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</si>
  <si>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</si>
  <si>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</si>
  <si>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</si>
  <si>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</si>
  <si>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</si>
  <si>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</si>
  <si>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</si>
  <si>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</si>
  <si>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</si>
  <si>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</si>
  <si>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</si>
  <si>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</si>
  <si>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</si>
  <si>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</si>
  <si>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</si>
  <si>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</si>
  <si>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</si>
  <si>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</si>
  <si>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</si>
  <si>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</si>
  <si>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</si>
  <si>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</si>
  <si>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</si>
  <si>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</si>
  <si>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</si>
  <si>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</si>
  <si>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</si>
  <si>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</si>
  <si>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</si>
  <si>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</si>
  <si>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</si>
  <si>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</si>
  <si>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</si>
  <si>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</si>
  <si>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</si>
  <si>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</si>
  <si>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</si>
  <si>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</si>
  <si>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</si>
  <si>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</si>
  <si>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</si>
  <si>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</si>
  <si>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</si>
  <si>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</si>
  <si>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</si>
  <si>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</si>
  <si>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</si>
  <si>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</si>
  <si>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</si>
  <si>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</si>
  <si>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</si>
  <si>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</si>
  <si>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</si>
  <si>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</si>
  <si>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</si>
  <si>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</si>
  <si>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</si>
  <si>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</si>
  <si>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</si>
  <si>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</si>
  <si>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</si>
  <si>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</si>
  <si>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</si>
  <si>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</si>
  <si>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</si>
  <si>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</si>
  <si>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</si>
  <si>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</si>
  <si>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</si>
  <si>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</si>
  <si>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</si>
  <si>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</si>
  <si>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</si>
  <si>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</si>
  <si>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</si>
  <si>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</si>
  <si>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</si>
  <si>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</si>
  <si>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</si>
  <si>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</si>
  <si>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</si>
  <si>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</si>
  <si>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</si>
  <si>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</si>
  <si>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</si>
  <si>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</si>
  <si>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</si>
  <si>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</si>
  <si>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</si>
  <si>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</si>
  <si>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</si>
  <si>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</si>
  <si>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</si>
  <si>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</si>
  <si>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</si>
  <si>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</si>
  <si>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</si>
  <si>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</si>
  <si>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</si>
  <si>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</si>
  <si>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</si>
  <si>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</si>
  <si>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</si>
  <si>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</si>
  <si>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</si>
  <si>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</si>
  <si>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</si>
  <si>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</si>
  <si>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</si>
  <si>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</si>
  <si>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</si>
  <si>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</si>
  <si>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</si>
  <si>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</si>
  <si>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</si>
  <si>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</si>
  <si>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</si>
  <si>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</si>
  <si>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</si>
  <si>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</si>
  <si>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</si>
  <si>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</si>
  <si>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</si>
  <si>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</si>
  <si>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</si>
  <si>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</si>
  <si>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</si>
  <si>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</si>
  <si>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</si>
  <si>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</si>
  <si>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</si>
  <si>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</si>
  <si>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</si>
  <si>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</si>
  <si>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</si>
  <si>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</si>
  <si>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</si>
  <si>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</si>
  <si>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</si>
  <si>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</si>
  <si>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</si>
  <si>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</si>
  <si>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</si>
  <si>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</si>
  <si>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</si>
  <si>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</si>
  <si>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</si>
  <si>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</si>
  <si>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</si>
  <si>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</si>
  <si>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</si>
  <si>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</si>
  <si>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</si>
  <si>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</si>
  <si>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</si>
  <si>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</si>
  <si>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</si>
  <si>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</si>
  <si>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</si>
  <si>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</si>
  <si>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</si>
  <si>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</si>
  <si>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</si>
  <si>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</si>
  <si>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</si>
  <si>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</si>
  <si>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</si>
  <si>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</si>
  <si>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</si>
  <si>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</si>
  <si>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</si>
  <si>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</si>
  <si>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</si>
  <si>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</si>
  <si>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</si>
  <si>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</si>
  <si>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</si>
  <si>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</si>
  <si>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</si>
  <si>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</si>
  <si>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</si>
  <si>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</si>
  <si>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</si>
  <si>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</si>
  <si>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</si>
  <si>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</si>
  <si>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</si>
  <si>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</si>
  <si>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</si>
  <si>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</si>
  <si>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</si>
  <si>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</si>
  <si>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</si>
  <si>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</si>
  <si>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</si>
  <si>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</si>
  <si>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</si>
  <si>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</si>
  <si>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</si>
  <si>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</si>
  <si>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</si>
  <si>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</si>
  <si>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</si>
  <si>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</si>
  <si>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</si>
  <si>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</si>
  <si>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</si>
  <si>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</si>
  <si>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</si>
  <si>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</si>
  <si>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</si>
  <si>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</si>
  <si>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</si>
  <si>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</si>
  <si>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</si>
  <si>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</si>
  <si>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</si>
  <si>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</si>
  <si>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</si>
  <si>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</si>
  <si>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</si>
  <si>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</si>
  <si>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</si>
  <si>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</si>
  <si>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</si>
  <si>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</si>
  <si>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</si>
  <si>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</si>
  <si>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</si>
  <si>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</si>
  <si>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</si>
  <si>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</si>
  <si>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</si>
  <si>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</si>
  <si>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</si>
  <si>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</si>
  <si>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</si>
  <si>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</si>
  <si>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</si>
  <si>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</si>
  <si>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</si>
  <si>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</si>
  <si>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</si>
  <si>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</si>
  <si>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</si>
  <si>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</si>
  <si>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</si>
  <si>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</si>
  <si>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</si>
  <si>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</si>
  <si>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</si>
  <si>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</si>
  <si>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</si>
  <si>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</si>
  <si>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</si>
  <si>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</si>
  <si>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</si>
  <si>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</si>
  <si>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</si>
  <si>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</si>
  <si>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</si>
  <si>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</si>
  <si>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</si>
  <si>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</si>
  <si>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</si>
  <si>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</si>
  <si>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</si>
  <si>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</si>
  <si>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</si>
  <si>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</si>
  <si>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</si>
  <si>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</si>
  <si>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</si>
  <si>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</si>
  <si>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</si>
  <si>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</si>
  <si>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</si>
  <si>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</si>
  <si>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</si>
  <si>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</si>
  <si>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</si>
  <si>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</si>
  <si>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</si>
  <si>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</si>
  <si>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</si>
  <si>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</si>
  <si>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</si>
  <si>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</si>
  <si>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</si>
  <si>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</si>
  <si>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</si>
  <si>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</si>
  <si>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</si>
  <si>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</si>
  <si>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</si>
  <si>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</si>
  <si>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</si>
  <si>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</si>
  <si>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</si>
  <si>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</si>
  <si>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</si>
  <si>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</si>
  <si>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</si>
  <si>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</si>
  <si>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</si>
  <si>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</si>
  <si>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</si>
  <si>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</si>
  <si>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</si>
  <si>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</si>
  <si>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</si>
  <si>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</si>
  <si>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</si>
  <si>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</si>
  <si>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</si>
  <si>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</si>
  <si>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</si>
  <si>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</si>
  <si>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</si>
  <si>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</si>
  <si>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</si>
  <si>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</si>
  <si>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</si>
  <si>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</si>
  <si>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</si>
  <si>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</si>
  <si>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</si>
  <si>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</si>
  <si>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</si>
  <si>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</si>
  <si>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</si>
  <si>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</si>
  <si>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</si>
  <si>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</si>
  <si>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</si>
  <si>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</si>
  <si>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</si>
  <si>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</si>
  <si>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</si>
  <si>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</si>
  <si>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</si>
  <si>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</si>
  <si>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</si>
  <si>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</si>
  <si>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</si>
  <si>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</si>
  <si>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</si>
  <si>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</si>
  <si>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</si>
  <si>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</si>
  <si>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</si>
  <si>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</si>
  <si>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</si>
  <si>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</si>
  <si>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</si>
  <si>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</si>
  <si>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</si>
  <si>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</si>
  <si>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</si>
  <si>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</si>
  <si>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</si>
  <si>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</si>
  <si>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</si>
  <si>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</si>
  <si>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</si>
  <si>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</si>
  <si>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</si>
  <si>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</si>
  <si>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</si>
  <si>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</si>
  <si>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</si>
  <si>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</si>
  <si>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</si>
  <si>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</si>
  <si>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</si>
  <si>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</si>
  <si>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</si>
  <si>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</si>
  <si>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</si>
  <si>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</si>
  <si>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</si>
  <si>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</si>
  <si>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</si>
  <si>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</si>
  <si>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</si>
  <si>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</si>
  <si>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</si>
  <si>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</si>
  <si>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</si>
  <si>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</si>
  <si>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</si>
  <si>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</si>
  <si>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</si>
  <si>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</si>
  <si>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</si>
  <si>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</si>
  <si>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</si>
  <si>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</si>
  <si>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</si>
  <si>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</si>
  <si>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</si>
  <si>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</si>
  <si>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</si>
  <si>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</si>
  <si>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</si>
  <si>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</si>
  <si>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</si>
  <si>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</si>
  <si>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</si>
  <si>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</si>
  <si>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</si>
  <si>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</si>
  <si>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</si>
  <si>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</si>
  <si>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</si>
  <si>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</si>
  <si>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</si>
  <si>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</si>
  <si>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</si>
  <si>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</si>
  <si>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</si>
  <si>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</si>
  <si>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</si>
  <si>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</si>
  <si>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</si>
  <si>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</si>
  <si>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</si>
  <si>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</si>
  <si>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</si>
  <si>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</si>
  <si>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</si>
  <si>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</si>
  <si>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</si>
  <si>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</si>
  <si>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</si>
  <si>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</si>
  <si>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</si>
  <si>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</si>
  <si>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</si>
  <si>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</si>
  <si>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</si>
  <si>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</si>
  <si>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</si>
  <si>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</si>
  <si>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</si>
  <si>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</si>
  <si>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</si>
  <si>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</si>
  <si>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</si>
  <si>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</si>
  <si>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</si>
  <si>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</si>
  <si>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*SEE SUPPLEMENTAL SCHEDULE*</t>
  </si>
  <si>
    <t>NASHUA SCHOOL DISTRICT</t>
  </si>
  <si>
    <t xml:space="preserve">  SCHOLARSHIP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</si>
</sst>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5" t="s">
        <v>913</v>
      </c>
      <c r="B2" s="21">
        <v>371</v>
      </c>
      <c r="C2" s="21">
        <v>371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280</v>
      </c>
      <c r="G6" s="224" t="s">
        <v>281</v>
      </c>
      <c r="H6" s="224" t="s">
        <v>282</v>
      </c>
      <c r="I6" s="224" t="s">
        <v>283</v>
      </c>
      <c r="J6" s="224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4"/>
      <c r="G7" s="225"/>
      <c r="H7" s="224" t="s">
        <v>771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/>
      <c r="G9" s="18"/>
      <c r="H9" s="18"/>
      <c r="I9" s="18"/>
      <c r="J9" s="66">
        <f>SUM(I439)</f>
        <v>2117560.7199999997</v>
      </c>
      <c r="K9" s="24" t="s">
        <v>288</v>
      </c>
      <c r="L9" s="24" t="s">
        <v>288</v>
      </c>
      <c r="M9" s="8"/>
      <c r="N9" s="269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6">
        <f>SUM(I440)</f>
        <v>5917781.4199999999</v>
      </c>
      <c r="K10" s="24" t="s">
        <v>288</v>
      </c>
      <c r="L10" s="24" t="s">
        <v>288</v>
      </c>
      <c r="M10" s="8"/>
      <c r="N10" s="269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69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336593.94</v>
      </c>
      <c r="H12" s="18"/>
      <c r="I12" s="18">
        <v>221785.81</v>
      </c>
      <c r="J12" s="66">
        <f>SUM(I441)</f>
        <v>85895.14</v>
      </c>
      <c r="K12" s="24" t="s">
        <v>288</v>
      </c>
      <c r="L12" s="24" t="s">
        <v>288</v>
      </c>
      <c r="M12" s="8"/>
      <c r="N12" s="269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204158.12</v>
      </c>
      <c r="H13" s="18">
        <v>3689776.26</v>
      </c>
      <c r="I13" s="18"/>
      <c r="J13" s="66">
        <f>SUM(I442)</f>
        <v>0</v>
      </c>
      <c r="K13" s="24" t="s">
        <v>288</v>
      </c>
      <c r="L13" s="24" t="s">
        <v>288</v>
      </c>
      <c r="M13" s="8"/>
      <c r="N13" s="269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552.5</v>
      </c>
      <c r="H14" s="18"/>
      <c r="I14" s="18"/>
      <c r="J14" s="66">
        <f>SUM(I443)</f>
        <v>0</v>
      </c>
      <c r="K14" s="24" t="s">
        <v>288</v>
      </c>
      <c r="L14" s="24" t="s">
        <v>288</v>
      </c>
      <c r="M14" s="8"/>
      <c r="N14" s="269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69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69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6">
        <f>SUM(I444)</f>
        <v>0</v>
      </c>
      <c r="K17" s="24" t="s">
        <v>288</v>
      </c>
      <c r="L17" s="24" t="s">
        <v>288</v>
      </c>
      <c r="M17" s="8"/>
      <c r="N17" s="269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4"/>
      <c r="I18" s="18"/>
      <c r="J18" s="66">
        <f>SUM(I445)</f>
        <v>0</v>
      </c>
      <c r="K18" s="24" t="s">
        <v>288</v>
      </c>
      <c r="L18" s="24" t="s">
        <v>288</v>
      </c>
      <c r="M18" s="8"/>
      <c r="N18" s="269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0</v>
      </c>
      <c r="G19" s="41">
        <f>SUM(G9:G18)</f>
        <v>541304.56000000006</v>
      </c>
      <c r="H19" s="41">
        <f>SUM(H9:H18)</f>
        <v>3689776.26</v>
      </c>
      <c r="I19" s="41">
        <f>SUM(I9:I18)</f>
        <v>221785.81</v>
      </c>
      <c r="J19" s="41">
        <f>SUM(J9:J18)</f>
        <v>8121237.2799999993</v>
      </c>
      <c r="K19" s="45" t="s">
        <v>288</v>
      </c>
      <c r="L19" s="45" t="s">
        <v>288</v>
      </c>
      <c r="M19" s="8"/>
      <c r="N19" s="269"/>
    </row>
    <row r="20" spans="1:14" s="3" customFormat="1" ht="12" customHeight="1" x14ac:dyDescent="0.15">
      <c r="A20" s="1" t="s">
        <v>454</v>
      </c>
      <c r="C20" s="158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69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2194991.63</v>
      </c>
      <c r="I22" s="18"/>
      <c r="J22" s="66">
        <f>SUM(I448)</f>
        <v>135927.1</v>
      </c>
      <c r="K22" s="24" t="s">
        <v>288</v>
      </c>
      <c r="L22" s="24" t="s">
        <v>288</v>
      </c>
      <c r="M22" s="8"/>
      <c r="N22" s="269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6">
        <f>SUM(I449)</f>
        <v>0</v>
      </c>
      <c r="K23" s="24" t="s">
        <v>288</v>
      </c>
      <c r="L23" s="24" t="s">
        <v>288</v>
      </c>
      <c r="M23" s="8"/>
      <c r="N23" s="269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>
        <v>1241.31</v>
      </c>
      <c r="H24" s="18">
        <v>321415.51</v>
      </c>
      <c r="I24" s="18"/>
      <c r="J24" s="66">
        <f>SUM(I450)</f>
        <v>0</v>
      </c>
      <c r="K24" s="24" t="s">
        <v>288</v>
      </c>
      <c r="L24" s="24" t="s">
        <v>288</v>
      </c>
      <c r="M24" s="8"/>
      <c r="N24" s="269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4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69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69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69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69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69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f>17700+17144</f>
        <v>34844</v>
      </c>
      <c r="I30" s="18"/>
      <c r="J30" s="24" t="s">
        <v>288</v>
      </c>
      <c r="K30" s="24" t="s">
        <v>288</v>
      </c>
      <c r="L30" s="24" t="s">
        <v>288</v>
      </c>
      <c r="M30" s="8"/>
      <c r="N30" s="269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6">
        <f>SUM(I451)</f>
        <v>0</v>
      </c>
      <c r="K31" s="24" t="s">
        <v>288</v>
      </c>
      <c r="L31" s="24" t="s">
        <v>288</v>
      </c>
      <c r="M31" s="8"/>
      <c r="N31" s="269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0</v>
      </c>
      <c r="G32" s="41">
        <f>SUM(G22:G31)</f>
        <v>1241.31</v>
      </c>
      <c r="H32" s="41">
        <f>SUM(H22:H31)</f>
        <v>2551251.1399999997</v>
      </c>
      <c r="I32" s="41">
        <f>SUM(I22:I31)</f>
        <v>0</v>
      </c>
      <c r="J32" s="41">
        <f>SUM(J22:J31)</f>
        <v>135927.1</v>
      </c>
      <c r="K32" s="45" t="s">
        <v>288</v>
      </c>
      <c r="L32" s="45" t="s">
        <v>288</v>
      </c>
      <c r="M32" s="8"/>
      <c r="N32" s="269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69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69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69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69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5497790.8600000003</v>
      </c>
      <c r="K37" s="24" t="s">
        <v>288</v>
      </c>
      <c r="L37" s="24" t="s">
        <v>288</v>
      </c>
      <c r="M37" s="8"/>
      <c r="N37" s="269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69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378776.61</v>
      </c>
      <c r="K39" s="24" t="s">
        <v>288</v>
      </c>
      <c r="L39" s="24" t="s">
        <v>288</v>
      </c>
      <c r="M39" s="8"/>
      <c r="N39" s="269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504995.26+35067.99</f>
        <v>540063.25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69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69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69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69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69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69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69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69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f>570429.63+322350.67</f>
        <v>892780.3</v>
      </c>
      <c r="I48" s="18">
        <f>2666567.39-2624911.08</f>
        <v>41656.310000000056</v>
      </c>
      <c r="J48" s="13">
        <f>SUM(I459)</f>
        <v>2106074.17</v>
      </c>
      <c r="K48" s="24" t="s">
        <v>288</v>
      </c>
      <c r="L48" s="24" t="s">
        <v>288</v>
      </c>
      <c r="M48" s="8"/>
      <c r="N48" s="269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>
        <v>245744.82</v>
      </c>
      <c r="I49" s="18">
        <v>180129.5</v>
      </c>
      <c r="J49" s="13">
        <f>I454</f>
        <v>2668.54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855</v>
      </c>
      <c r="B50" s="2" t="s">
        <v>289</v>
      </c>
      <c r="C50" s="70">
        <v>35</v>
      </c>
      <c r="D50" s="2" t="s">
        <v>656</v>
      </c>
      <c r="E50" s="6">
        <v>770</v>
      </c>
      <c r="F50" s="18"/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69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540063.25</v>
      </c>
      <c r="H51" s="41">
        <f>SUM(H35:H50)</f>
        <v>1138525.1200000001</v>
      </c>
      <c r="I51" s="41">
        <f>SUM(I35:I50)</f>
        <v>221785.81000000006</v>
      </c>
      <c r="J51" s="41">
        <f>SUM(J35:J50)</f>
        <v>7985310.1800000006</v>
      </c>
      <c r="K51" s="45" t="s">
        <v>288</v>
      </c>
      <c r="L51" s="45" t="s">
        <v>288</v>
      </c>
      <c r="N51" s="18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0</v>
      </c>
      <c r="G52" s="41">
        <f>G51+G32</f>
        <v>541304.56000000006</v>
      </c>
      <c r="H52" s="41">
        <f>H51+H32</f>
        <v>3689776.26</v>
      </c>
      <c r="I52" s="41">
        <f>I51+I32</f>
        <v>221785.81000000006</v>
      </c>
      <c r="J52" s="41">
        <f>J51+J32</f>
        <v>8121237.2800000003</v>
      </c>
      <c r="K52" s="45" t="s">
        <v>288</v>
      </c>
      <c r="L52" s="45" t="s">
        <v>288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69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69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69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91573182.409999996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69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69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0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91573182.409999996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0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69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69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23476.799999999999</v>
      </c>
      <c r="G63" s="24" t="s">
        <v>288</v>
      </c>
      <c r="H63" s="18">
        <v>196019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69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>
        <v>86458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69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>
        <v>46950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0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>
        <v>64303.5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69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69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69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>
        <v>294513.84999999998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69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>
        <v>80473.55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69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69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69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69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69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69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69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69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18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23476.799999999999</v>
      </c>
      <c r="G79" s="45" t="s">
        <v>288</v>
      </c>
      <c r="H79" s="41">
        <f>SUM(H63:H78)</f>
        <v>768717.9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69"/>
    </row>
    <row r="81" spans="1:14" s="3" customFormat="1" ht="12" customHeight="1" x14ac:dyDescent="0.2">
      <c r="A81" s="169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69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82267.53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69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69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69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69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>
        <v>32270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69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69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69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69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69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69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69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82267.53</v>
      </c>
      <c r="G94" s="45" t="s">
        <v>288</v>
      </c>
      <c r="H94" s="41">
        <f>SUM(H83:H93)</f>
        <v>32270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69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69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>
        <v>1740.93</v>
      </c>
      <c r="H96" s="18"/>
      <c r="I96" s="18"/>
      <c r="J96" s="18">
        <v>541039.97</v>
      </c>
      <c r="K96" s="24" t="s">
        <v>288</v>
      </c>
      <c r="L96" s="24" t="s">
        <v>288</v>
      </c>
      <c r="M96" s="8"/>
      <c r="N96" s="269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1866563.32+63+7433.26</f>
        <v>1874059.58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69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>
        <v>292844.86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69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69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69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>
        <v>163733.5</v>
      </c>
      <c r="I101" s="18"/>
      <c r="J101" s="24" t="s">
        <v>288</v>
      </c>
      <c r="K101" s="24" t="s">
        <v>288</v>
      </c>
      <c r="L101" s="24" t="s">
        <v>288</v>
      </c>
      <c r="M101" s="8"/>
      <c r="N101" s="269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>
        <v>310535.40000000002</v>
      </c>
      <c r="K102" s="24" t="s">
        <v>288</v>
      </c>
      <c r="L102" s="24" t="s">
        <v>288</v>
      </c>
      <c r="M102" s="8"/>
      <c r="N102" s="269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69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69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69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69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69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69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69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47930+106.5</f>
        <v>48036.5</v>
      </c>
      <c r="G110" s="18"/>
      <c r="H110" s="18"/>
      <c r="I110" s="18">
        <v>24425</v>
      </c>
      <c r="J110" s="18"/>
      <c r="K110" s="24" t="s">
        <v>288</v>
      </c>
      <c r="L110" s="24" t="s">
        <v>288</v>
      </c>
      <c r="M110" s="8"/>
      <c r="N110" s="269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48036.5</v>
      </c>
      <c r="G111" s="41">
        <f>SUM(G96:G110)</f>
        <v>1875800.51</v>
      </c>
      <c r="H111" s="41">
        <f>SUM(H96:H110)</f>
        <v>456578.36</v>
      </c>
      <c r="I111" s="41">
        <f>SUM(I96:I110)</f>
        <v>24425</v>
      </c>
      <c r="J111" s="41">
        <f>SUM(J96:J110)</f>
        <v>851575.37</v>
      </c>
      <c r="K111" s="45" t="s">
        <v>288</v>
      </c>
      <c r="L111" s="45" t="s">
        <v>288</v>
      </c>
      <c r="N111" s="18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91726963.239999995</v>
      </c>
      <c r="G112" s="41">
        <f>G60+G111</f>
        <v>1875800.51</v>
      </c>
      <c r="H112" s="41">
        <f>H60+H79+H94+H111</f>
        <v>1257566.26</v>
      </c>
      <c r="I112" s="41">
        <f>I60+I111</f>
        <v>24425</v>
      </c>
      <c r="J112" s="41">
        <f>J60+J111</f>
        <v>851575.37</v>
      </c>
      <c r="K112" s="45" t="s">
        <v>288</v>
      </c>
      <c r="L112" s="45" t="s">
        <v>288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69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35083503.109999999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69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19883376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69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69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14062.41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69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54980941.519999996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69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69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2377549.0099999998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69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69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300722.19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69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192164.08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69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3118.5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69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69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69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>
        <v>131860.01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69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75821.63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69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69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>
        <v>313389.90000000002</v>
      </c>
      <c r="I135" s="18"/>
      <c r="J135" s="18"/>
      <c r="K135" s="24" t="s">
        <v>288</v>
      </c>
      <c r="L135" s="24" t="s">
        <v>288</v>
      </c>
      <c r="M135" s="8"/>
      <c r="N135" s="269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2873553.78</v>
      </c>
      <c r="G136" s="41">
        <f>SUM(G123:G135)</f>
        <v>75821.63</v>
      </c>
      <c r="H136" s="41">
        <f>SUM(H123:H135)</f>
        <v>445249.91000000003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69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69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69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69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57854495.299999997</v>
      </c>
      <c r="G140" s="41">
        <f>G121+SUM(G136:G137)</f>
        <v>75821.63</v>
      </c>
      <c r="H140" s="41">
        <f>H121+SUM(H136:H139)</f>
        <v>445249.91000000003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69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3" t="s">
        <v>771</v>
      </c>
      <c r="I143" s="16" t="s">
        <v>283</v>
      </c>
      <c r="J143" s="16" t="s">
        <v>284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69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69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69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69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69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69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413817.75</v>
      </c>
      <c r="I150" s="18"/>
      <c r="J150" s="24" t="s">
        <v>288</v>
      </c>
      <c r="K150" s="24" t="s">
        <v>288</v>
      </c>
      <c r="L150" s="24" t="s">
        <v>288</v>
      </c>
      <c r="M150" s="8"/>
      <c r="N150" s="269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69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69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69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3481167.53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69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1364250.7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69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324725.46000000002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69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69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2901191.94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69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2746143.32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69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1724020.46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69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f>38336.78+24000</f>
        <v>62336.78</v>
      </c>
      <c r="I161" s="18"/>
      <c r="J161" s="24" t="s">
        <v>288</v>
      </c>
      <c r="K161" s="24" t="s">
        <v>288</v>
      </c>
      <c r="L161" s="24" t="s">
        <v>288</v>
      </c>
      <c r="M161" s="8"/>
      <c r="N161" s="269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1724020.46</v>
      </c>
      <c r="G162" s="41">
        <f>SUM(G150:G161)</f>
        <v>2901191.94</v>
      </c>
      <c r="H162" s="41">
        <f>SUM(H150:H161)</f>
        <v>8392441.5399999991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69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69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69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69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69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69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69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1724020.46</v>
      </c>
      <c r="G169" s="41">
        <f>G147+G162+SUM(G163:G168)</f>
        <v>2901191.94</v>
      </c>
      <c r="H169" s="41">
        <f>H147+H162+SUM(H163:H168)</f>
        <v>8392441.5399999991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69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3" t="s">
        <v>771</v>
      </c>
      <c r="I172" s="16" t="s">
        <v>283</v>
      </c>
      <c r="J172" s="16" t="s">
        <v>284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69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69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69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69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69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69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69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69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69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69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69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69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>
        <v>1022274.15</v>
      </c>
      <c r="J185" s="24" t="s">
        <v>288</v>
      </c>
      <c r="K185" s="24" t="s">
        <v>288</v>
      </c>
      <c r="L185" s="24" t="s">
        <v>288</v>
      </c>
      <c r="M185" s="8"/>
      <c r="N185" s="269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200000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69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18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200000</v>
      </c>
      <c r="G188" s="41">
        <f>SUM(G185:G187)</f>
        <v>0</v>
      </c>
      <c r="H188" s="41">
        <f>SUM(H185:H187)</f>
        <v>0</v>
      </c>
      <c r="I188" s="41">
        <f>SUM(I185:I187)</f>
        <v>1022274.15</v>
      </c>
      <c r="J188" s="45" t="s">
        <v>288</v>
      </c>
      <c r="K188" s="45" t="s">
        <v>288</v>
      </c>
      <c r="L188" s="45" t="s">
        <v>288</v>
      </c>
      <c r="N188" s="18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69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69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69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5" t="s">
        <v>430</v>
      </c>
      <c r="E192" s="51">
        <v>5000</v>
      </c>
      <c r="F192" s="41">
        <f>F177+F183+SUM(F188:F191)</f>
        <v>200000</v>
      </c>
      <c r="G192" s="41">
        <f>G183+SUM(G188:G191)</f>
        <v>0</v>
      </c>
      <c r="H192" s="41">
        <f>+H183+SUM(H188:H191)</f>
        <v>0</v>
      </c>
      <c r="I192" s="41">
        <f>I177+I183+SUM(I188:I191)</f>
        <v>1022274.15</v>
      </c>
      <c r="J192" s="41">
        <f>J183</f>
        <v>0</v>
      </c>
      <c r="K192" s="45" t="s">
        <v>288</v>
      </c>
      <c r="L192" s="45" t="s">
        <v>288</v>
      </c>
      <c r="M192" s="8"/>
      <c r="N192" s="269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6" t="s">
        <v>430</v>
      </c>
      <c r="E193" s="44"/>
      <c r="F193" s="47">
        <f>F112+F140+F169+F192</f>
        <v>151505479</v>
      </c>
      <c r="G193" s="47">
        <f>G112+G140+G169+G192</f>
        <v>4852814.08</v>
      </c>
      <c r="H193" s="47">
        <f>H112+H140+H169+H192</f>
        <v>10095257.709999999</v>
      </c>
      <c r="I193" s="47">
        <f>I112+I140+I169+I192</f>
        <v>1046699.15</v>
      </c>
      <c r="J193" s="47">
        <f>J112+J140+J192</f>
        <v>851575.37</v>
      </c>
      <c r="K193" s="45" t="s">
        <v>288</v>
      </c>
      <c r="L193" s="45" t="s">
        <v>288</v>
      </c>
      <c r="M193" s="8"/>
      <c r="N193" s="269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6" t="s">
        <v>692</v>
      </c>
      <c r="G194" s="176" t="s">
        <v>693</v>
      </c>
      <c r="H194" s="176" t="s">
        <v>694</v>
      </c>
      <c r="I194" s="176" t="s">
        <v>695</v>
      </c>
      <c r="J194" s="176" t="s">
        <v>696</v>
      </c>
      <c r="K194" s="176" t="s">
        <v>697</v>
      </c>
      <c r="L194" s="56"/>
      <c r="M194" s="8"/>
      <c r="N194" s="269"/>
    </row>
    <row r="195" spans="1:14" s="3" customFormat="1" ht="12" customHeight="1" x14ac:dyDescent="0.15">
      <c r="A195" s="29" t="s">
        <v>451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9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69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18240459.920000002</v>
      </c>
      <c r="G197" s="18">
        <v>7841780.9500000002</v>
      </c>
      <c r="H197" s="18">
        <v>200430.22</v>
      </c>
      <c r="I197" s="18">
        <v>283234.58</v>
      </c>
      <c r="J197" s="18">
        <v>39724.11</v>
      </c>
      <c r="K197" s="18">
        <v>0</v>
      </c>
      <c r="L197" s="19">
        <f>SUM(F197:K197)</f>
        <v>26605629.779999997</v>
      </c>
      <c r="M197" s="8"/>
      <c r="N197" s="269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8583481.9499999993</v>
      </c>
      <c r="G198" s="18">
        <v>2903771.56</v>
      </c>
      <c r="H198" s="18">
        <v>386931.3</v>
      </c>
      <c r="I198" s="18">
        <v>30481.55</v>
      </c>
      <c r="J198" s="18">
        <v>574.85</v>
      </c>
      <c r="K198" s="18">
        <v>0</v>
      </c>
      <c r="L198" s="19">
        <f>SUM(F198:K198)</f>
        <v>11905241.210000001</v>
      </c>
      <c r="M198" s="8"/>
      <c r="N198" s="269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97988.51</v>
      </c>
      <c r="G200" s="18">
        <v>30872.82</v>
      </c>
      <c r="H200" s="18">
        <v>12894</v>
      </c>
      <c r="I200" s="18">
        <v>1089.1500000000001</v>
      </c>
      <c r="J200" s="18">
        <v>0</v>
      </c>
      <c r="K200" s="18">
        <v>0</v>
      </c>
      <c r="L200" s="19">
        <f>SUM(F200:K200)</f>
        <v>142844.47999999998</v>
      </c>
      <c r="M200" s="8"/>
      <c r="N200" s="269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69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3390365.74</v>
      </c>
      <c r="G202" s="18">
        <v>1367863.98</v>
      </c>
      <c r="H202" s="18">
        <v>462591.23</v>
      </c>
      <c r="I202" s="18">
        <v>24985.3</v>
      </c>
      <c r="J202" s="18">
        <v>5492.27</v>
      </c>
      <c r="K202" s="18">
        <v>0</v>
      </c>
      <c r="L202" s="19">
        <f t="shared" ref="L202:L208" si="0">SUM(F202:K202)</f>
        <v>5251298.5200000005</v>
      </c>
      <c r="M202" s="8"/>
      <c r="N202" s="269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1282637.5900000001</v>
      </c>
      <c r="G203" s="18">
        <v>533094.24</v>
      </c>
      <c r="H203" s="18">
        <v>90011.98</v>
      </c>
      <c r="I203" s="18">
        <v>342282.35</v>
      </c>
      <c r="J203" s="18">
        <v>417602.1</v>
      </c>
      <c r="K203" s="18">
        <v>0</v>
      </c>
      <c r="L203" s="19">
        <f t="shared" si="0"/>
        <v>2665628.2600000002</v>
      </c>
      <c r="M203" s="8"/>
      <c r="N203" s="269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893499.8</v>
      </c>
      <c r="G204" s="18">
        <v>321465.96999999997</v>
      </c>
      <c r="H204" s="18">
        <v>280873.96000000002</v>
      </c>
      <c r="I204" s="18">
        <v>7208.47</v>
      </c>
      <c r="J204" s="18">
        <v>1578.63</v>
      </c>
      <c r="K204" s="18">
        <v>45219.14</v>
      </c>
      <c r="L204" s="19">
        <f t="shared" si="0"/>
        <v>1549845.9699999997</v>
      </c>
      <c r="M204" s="8"/>
      <c r="N204" s="269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3022533.75</v>
      </c>
      <c r="G205" s="18">
        <v>1121814.1200000001</v>
      </c>
      <c r="H205" s="18">
        <v>11903.05</v>
      </c>
      <c r="I205" s="18">
        <v>62106.93</v>
      </c>
      <c r="J205" s="18">
        <v>963.5</v>
      </c>
      <c r="K205" s="18">
        <v>0</v>
      </c>
      <c r="L205" s="19">
        <f t="shared" si="0"/>
        <v>4219321.3499999996</v>
      </c>
      <c r="M205" s="8"/>
      <c r="N205" s="269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365417.11</v>
      </c>
      <c r="G206" s="18">
        <v>93311.16</v>
      </c>
      <c r="H206" s="18">
        <v>9801.52</v>
      </c>
      <c r="I206" s="18">
        <v>0</v>
      </c>
      <c r="J206" s="18">
        <v>0</v>
      </c>
      <c r="K206" s="18">
        <v>0</v>
      </c>
      <c r="L206" s="19">
        <f t="shared" si="0"/>
        <v>468529.79000000004</v>
      </c>
      <c r="M206" s="8"/>
      <c r="N206" s="269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2485730.7599999998</v>
      </c>
      <c r="G207" s="18">
        <v>926998.47</v>
      </c>
      <c r="H207" s="18">
        <v>2634763.62</v>
      </c>
      <c r="I207" s="18">
        <v>336481.41</v>
      </c>
      <c r="J207" s="18">
        <v>20136.04</v>
      </c>
      <c r="K207" s="18">
        <v>-76152.45</v>
      </c>
      <c r="L207" s="19">
        <f t="shared" si="0"/>
        <v>6327957.8499999996</v>
      </c>
      <c r="M207" s="8"/>
      <c r="N207" s="269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40423.74</v>
      </c>
      <c r="G208" s="18">
        <v>30882.68</v>
      </c>
      <c r="H208" s="18">
        <v>2660091.8199999998</v>
      </c>
      <c r="I208" s="18">
        <v>328.6</v>
      </c>
      <c r="J208" s="18">
        <v>0</v>
      </c>
      <c r="K208" s="18">
        <v>0</v>
      </c>
      <c r="L208" s="19">
        <f t="shared" si="0"/>
        <v>2731726.84</v>
      </c>
      <c r="M208" s="8"/>
      <c r="N208" s="269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107467.66</v>
      </c>
      <c r="G209" s="18">
        <v>43896.78</v>
      </c>
      <c r="H209" s="18">
        <v>95029.55</v>
      </c>
      <c r="I209" s="18">
        <v>0</v>
      </c>
      <c r="J209" s="18">
        <v>0</v>
      </c>
      <c r="K209" s="18">
        <v>0</v>
      </c>
      <c r="L209" s="19">
        <f>SUM(F209:K209)</f>
        <v>246393.99</v>
      </c>
      <c r="M209" s="8"/>
      <c r="N209" s="269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69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38510006.530000001</v>
      </c>
      <c r="G211" s="41">
        <f t="shared" si="1"/>
        <v>15215752.73</v>
      </c>
      <c r="H211" s="41">
        <f t="shared" si="1"/>
        <v>6845322.2499999991</v>
      </c>
      <c r="I211" s="41">
        <f t="shared" si="1"/>
        <v>1088198.3400000001</v>
      </c>
      <c r="J211" s="41">
        <f t="shared" si="1"/>
        <v>486071.49999999994</v>
      </c>
      <c r="K211" s="41">
        <f t="shared" si="1"/>
        <v>-30933.309999999998</v>
      </c>
      <c r="L211" s="41">
        <f t="shared" si="1"/>
        <v>62114418.039999999</v>
      </c>
      <c r="M211" s="8"/>
      <c r="N211" s="269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6" t="s">
        <v>692</v>
      </c>
      <c r="G212" s="176" t="s">
        <v>693</v>
      </c>
      <c r="H212" s="176" t="s">
        <v>694</v>
      </c>
      <c r="I212" s="176" t="s">
        <v>695</v>
      </c>
      <c r="J212" s="176" t="s">
        <v>696</v>
      </c>
      <c r="K212" s="176" t="s">
        <v>697</v>
      </c>
      <c r="L212" s="66"/>
      <c r="M212" s="8"/>
      <c r="N212" s="269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9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69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9642521.9600000009</v>
      </c>
      <c r="G215" s="18">
        <v>4150706.89</v>
      </c>
      <c r="H215" s="18">
        <v>100608</v>
      </c>
      <c r="I215" s="18">
        <v>148211.18</v>
      </c>
      <c r="J215" s="18">
        <v>139588.38</v>
      </c>
      <c r="K215" s="18">
        <v>0</v>
      </c>
      <c r="L215" s="19">
        <f>SUM(F215:K215)</f>
        <v>14181636.410000002</v>
      </c>
      <c r="M215" s="8"/>
      <c r="N215" s="269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3111676.47</v>
      </c>
      <c r="G216" s="18">
        <v>1127832.49</v>
      </c>
      <c r="H216" s="18">
        <v>1326621.6100000001</v>
      </c>
      <c r="I216" s="18">
        <v>16333.47</v>
      </c>
      <c r="J216" s="18">
        <v>712.96</v>
      </c>
      <c r="K216" s="18">
        <v>0</v>
      </c>
      <c r="L216" s="19">
        <f>SUM(F216:K216)</f>
        <v>5583177</v>
      </c>
      <c r="M216" s="8"/>
      <c r="N216" s="269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845785.99</v>
      </c>
      <c r="G217" s="18">
        <v>359950.88</v>
      </c>
      <c r="H217" s="18">
        <v>486.5</v>
      </c>
      <c r="I217" s="18">
        <v>37994.35</v>
      </c>
      <c r="J217" s="18">
        <v>1488.48</v>
      </c>
      <c r="K217" s="18">
        <v>0</v>
      </c>
      <c r="L217" s="19">
        <f>SUM(F217:K217)</f>
        <v>1245706.2000000002</v>
      </c>
      <c r="M217" s="8"/>
      <c r="N217" s="269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72995.02</v>
      </c>
      <c r="G218" s="18">
        <v>10252.450000000001</v>
      </c>
      <c r="H218" s="18">
        <v>58840.19</v>
      </c>
      <c r="I218" s="18">
        <v>500.67</v>
      </c>
      <c r="J218" s="18">
        <v>0</v>
      </c>
      <c r="K218" s="18">
        <v>0</v>
      </c>
      <c r="L218" s="19">
        <f>SUM(F218:K218)</f>
        <v>142588.33000000002</v>
      </c>
      <c r="M218" s="8"/>
      <c r="N218" s="269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69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1995509.66</v>
      </c>
      <c r="G220" s="18">
        <v>812640.99</v>
      </c>
      <c r="H220" s="18">
        <v>221058.12</v>
      </c>
      <c r="I220" s="18">
        <v>10093.280000000001</v>
      </c>
      <c r="J220" s="18">
        <v>2621.74</v>
      </c>
      <c r="K220" s="18">
        <v>0</v>
      </c>
      <c r="L220" s="19">
        <f t="shared" ref="L220:L226" si="2">SUM(F220:K220)</f>
        <v>3041923.79</v>
      </c>
      <c r="M220" s="8"/>
      <c r="N220" s="269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416204.62</v>
      </c>
      <c r="G221" s="18">
        <v>168814.62</v>
      </c>
      <c r="H221" s="18">
        <v>41377.25</v>
      </c>
      <c r="I221" s="18">
        <v>154735.85999999999</v>
      </c>
      <c r="J221" s="18">
        <v>191965.88</v>
      </c>
      <c r="K221" s="18">
        <v>0</v>
      </c>
      <c r="L221" s="19">
        <f t="shared" si="2"/>
        <v>973098.23</v>
      </c>
      <c r="M221" s="8"/>
      <c r="N221" s="269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410729.43</v>
      </c>
      <c r="G222" s="18">
        <v>147773.44</v>
      </c>
      <c r="H222" s="18">
        <v>129113.85</v>
      </c>
      <c r="I222" s="18">
        <v>3313.63</v>
      </c>
      <c r="J222" s="18">
        <v>725.67</v>
      </c>
      <c r="K222" s="18">
        <v>20786.61</v>
      </c>
      <c r="L222" s="19">
        <f t="shared" si="2"/>
        <v>712442.63</v>
      </c>
      <c r="M222" s="8"/>
      <c r="N222" s="269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979805.24</v>
      </c>
      <c r="G223" s="18">
        <v>365878.12</v>
      </c>
      <c r="H223" s="18">
        <v>2491.62</v>
      </c>
      <c r="I223" s="18">
        <v>8362.81</v>
      </c>
      <c r="J223" s="18">
        <v>0</v>
      </c>
      <c r="K223" s="18">
        <v>0</v>
      </c>
      <c r="L223" s="19">
        <f t="shared" si="2"/>
        <v>1356537.79</v>
      </c>
      <c r="M223" s="8"/>
      <c r="N223" s="269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167977.16</v>
      </c>
      <c r="G224" s="18">
        <v>42893.84</v>
      </c>
      <c r="H224" s="18">
        <v>4505.62</v>
      </c>
      <c r="I224" s="18">
        <v>0</v>
      </c>
      <c r="J224" s="18">
        <v>0</v>
      </c>
      <c r="K224" s="18">
        <v>0</v>
      </c>
      <c r="L224" s="19">
        <f t="shared" si="2"/>
        <v>215376.62</v>
      </c>
      <c r="M224" s="8"/>
      <c r="N224" s="269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1269165.27</v>
      </c>
      <c r="G225" s="18">
        <v>485511.75</v>
      </c>
      <c r="H225" s="18">
        <v>1211164.18</v>
      </c>
      <c r="I225" s="18">
        <v>154675.82</v>
      </c>
      <c r="J225" s="18">
        <v>9256.26</v>
      </c>
      <c r="K225" s="18">
        <v>-35006.22</v>
      </c>
      <c r="L225" s="19">
        <f t="shared" si="2"/>
        <v>3094767.0599999996</v>
      </c>
      <c r="M225" s="8"/>
      <c r="N225" s="269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26124.73</v>
      </c>
      <c r="G226" s="18">
        <v>19958.61</v>
      </c>
      <c r="H226" s="18">
        <v>1719142.82</v>
      </c>
      <c r="I226" s="18">
        <v>212.36</v>
      </c>
      <c r="J226" s="18">
        <v>0</v>
      </c>
      <c r="K226" s="18">
        <v>0</v>
      </c>
      <c r="L226" s="19">
        <f t="shared" si="2"/>
        <v>1765438.5200000003</v>
      </c>
      <c r="M226" s="8"/>
      <c r="N226" s="269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49401.39</v>
      </c>
      <c r="G227" s="18">
        <v>20178.740000000002</v>
      </c>
      <c r="H227" s="18">
        <v>43683.76</v>
      </c>
      <c r="I227" s="18">
        <v>0</v>
      </c>
      <c r="J227" s="18">
        <v>0</v>
      </c>
      <c r="K227" s="18">
        <v>0</v>
      </c>
      <c r="L227" s="19">
        <f>SUM(F227:K227)</f>
        <v>113263.89000000001</v>
      </c>
      <c r="M227" s="8"/>
      <c r="N227" s="269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69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18987896.940000001</v>
      </c>
      <c r="G229" s="41">
        <f>SUM(G215:G228)</f>
        <v>7712392.8200000012</v>
      </c>
      <c r="H229" s="41">
        <f>SUM(H215:H228)</f>
        <v>4859093.5200000005</v>
      </c>
      <c r="I229" s="41">
        <f>SUM(I215:I228)</f>
        <v>534433.43000000005</v>
      </c>
      <c r="J229" s="41">
        <f>SUM(J215:J228)</f>
        <v>346359.37</v>
      </c>
      <c r="K229" s="41">
        <f t="shared" si="3"/>
        <v>-14219.61</v>
      </c>
      <c r="L229" s="41">
        <f t="shared" si="3"/>
        <v>32425956.469999999</v>
      </c>
      <c r="M229" s="8"/>
      <c r="N229" s="269"/>
    </row>
    <row r="230" spans="1:14" s="3" customFormat="1" ht="12" customHeight="1" x14ac:dyDescent="0.15">
      <c r="A230" s="55" t="s">
        <v>465</v>
      </c>
      <c r="B230" s="36"/>
      <c r="C230" s="74"/>
      <c r="D230" s="74"/>
      <c r="E230" s="74"/>
      <c r="F230" s="176" t="s">
        <v>692</v>
      </c>
      <c r="G230" s="176" t="s">
        <v>693</v>
      </c>
      <c r="H230" s="176" t="s">
        <v>694</v>
      </c>
      <c r="I230" s="176" t="s">
        <v>695</v>
      </c>
      <c r="J230" s="176" t="s">
        <v>696</v>
      </c>
      <c r="K230" s="176" t="s">
        <v>697</v>
      </c>
      <c r="L230" s="66"/>
      <c r="M230" s="8"/>
      <c r="N230" s="269"/>
    </row>
    <row r="231" spans="1:14" s="3" customFormat="1" ht="12" customHeight="1" x14ac:dyDescent="0.15">
      <c r="A231" s="29" t="s">
        <v>453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69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10834041.869999999</v>
      </c>
      <c r="G233" s="18">
        <v>4788899.95</v>
      </c>
      <c r="H233" s="18">
        <v>254113.17</v>
      </c>
      <c r="I233" s="18">
        <v>193388.4</v>
      </c>
      <c r="J233" s="18">
        <v>48443.46</v>
      </c>
      <c r="K233" s="18">
        <v>0</v>
      </c>
      <c r="L233" s="19">
        <f>SUM(F233:K233)</f>
        <v>16118886.850000001</v>
      </c>
      <c r="M233" s="8"/>
      <c r="N233" s="269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3311165.43</v>
      </c>
      <c r="G234" s="18">
        <v>1255467.77</v>
      </c>
      <c r="H234" s="18">
        <v>3814037.14</v>
      </c>
      <c r="I234" s="18">
        <v>12607.33</v>
      </c>
      <c r="J234" s="18">
        <v>379.06</v>
      </c>
      <c r="K234" s="18">
        <v>0</v>
      </c>
      <c r="L234" s="19">
        <f>SUM(F234:K234)</f>
        <v>8393656.7300000004</v>
      </c>
      <c r="M234" s="8"/>
      <c r="N234" s="269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2448079.46</v>
      </c>
      <c r="G235" s="18">
        <v>1074432.8700000001</v>
      </c>
      <c r="H235" s="18">
        <v>18578.64</v>
      </c>
      <c r="I235" s="18">
        <v>154406.03</v>
      </c>
      <c r="J235" s="18">
        <v>24957.53</v>
      </c>
      <c r="K235" s="18">
        <v>0</v>
      </c>
      <c r="L235" s="19">
        <f>SUM(F235:K235)</f>
        <v>3720454.53</v>
      </c>
      <c r="M235" s="8"/>
      <c r="N235" s="269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434926.53</v>
      </c>
      <c r="G236" s="18">
        <v>77835.070000000007</v>
      </c>
      <c r="H236" s="18">
        <v>429741.77</v>
      </c>
      <c r="I236" s="18">
        <v>13921.88</v>
      </c>
      <c r="J236" s="18">
        <v>0</v>
      </c>
      <c r="K236" s="18">
        <v>-211641.83</v>
      </c>
      <c r="L236" s="19">
        <f>SUM(F236:K236)</f>
        <v>744783.42000000016</v>
      </c>
      <c r="M236" s="8"/>
      <c r="N236" s="269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69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3056935.74</v>
      </c>
      <c r="G238" s="18">
        <v>1249843.77</v>
      </c>
      <c r="H238" s="18">
        <v>305953.44</v>
      </c>
      <c r="I238" s="18">
        <v>11593.38</v>
      </c>
      <c r="J238" s="18">
        <v>3621.62</v>
      </c>
      <c r="K238" s="18">
        <v>0</v>
      </c>
      <c r="L238" s="19">
        <f t="shared" ref="L238:L244" si="4">SUM(F238:K238)</f>
        <v>4627947.95</v>
      </c>
      <c r="M238" s="8"/>
      <c r="N238" s="269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682278.88</v>
      </c>
      <c r="G239" s="18">
        <v>259423.53</v>
      </c>
      <c r="H239" s="18">
        <v>63243.29</v>
      </c>
      <c r="I239" s="18">
        <v>243509.51</v>
      </c>
      <c r="J239" s="18">
        <v>288307.96000000002</v>
      </c>
      <c r="K239" s="18">
        <v>0</v>
      </c>
      <c r="L239" s="19">
        <f t="shared" si="4"/>
        <v>1536763.17</v>
      </c>
      <c r="M239" s="8"/>
      <c r="N239" s="269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616862.57999999996</v>
      </c>
      <c r="G240" s="18">
        <v>221936.62</v>
      </c>
      <c r="H240" s="18">
        <v>193912.34</v>
      </c>
      <c r="I240" s="18">
        <v>4976.6499999999996</v>
      </c>
      <c r="J240" s="18">
        <v>1089.8699999999999</v>
      </c>
      <c r="K240" s="18">
        <v>31218.799999999999</v>
      </c>
      <c r="L240" s="19">
        <f t="shared" si="4"/>
        <v>1069996.8599999999</v>
      </c>
      <c r="M240" s="8"/>
      <c r="N240" s="269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1232215.57</v>
      </c>
      <c r="G241" s="18">
        <v>476962.76</v>
      </c>
      <c r="H241" s="18">
        <v>5079.13</v>
      </c>
      <c r="I241" s="18">
        <v>0</v>
      </c>
      <c r="J241" s="18">
        <v>0</v>
      </c>
      <c r="K241" s="18">
        <v>0</v>
      </c>
      <c r="L241" s="19">
        <f t="shared" si="4"/>
        <v>1714257.46</v>
      </c>
      <c r="M241" s="8"/>
      <c r="N241" s="269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252280.01</v>
      </c>
      <c r="G242" s="18">
        <v>64421.02</v>
      </c>
      <c r="H242" s="18">
        <v>6766.86</v>
      </c>
      <c r="I242" s="18">
        <v>0</v>
      </c>
      <c r="J242" s="18">
        <v>0</v>
      </c>
      <c r="K242" s="18">
        <v>0</v>
      </c>
      <c r="L242" s="19">
        <f t="shared" si="4"/>
        <v>323467.89</v>
      </c>
      <c r="M242" s="8"/>
      <c r="N242" s="269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2107558.58</v>
      </c>
      <c r="G243" s="18">
        <v>822184.19</v>
      </c>
      <c r="H243" s="18">
        <v>1912277.01</v>
      </c>
      <c r="I243" s="18">
        <v>232303.12</v>
      </c>
      <c r="J243" s="18">
        <v>13901.7</v>
      </c>
      <c r="K243" s="18">
        <v>-52574.83</v>
      </c>
      <c r="L243" s="19">
        <f t="shared" si="4"/>
        <v>5035649.7700000005</v>
      </c>
      <c r="M243" s="8"/>
      <c r="N243" s="269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33584.660000000003</v>
      </c>
      <c r="G244" s="18">
        <v>25657.8</v>
      </c>
      <c r="H244" s="18">
        <v>2210044.09</v>
      </c>
      <c r="I244" s="18">
        <v>273</v>
      </c>
      <c r="J244" s="18">
        <v>0</v>
      </c>
      <c r="K244" s="18">
        <v>0</v>
      </c>
      <c r="L244" s="19">
        <f t="shared" si="4"/>
        <v>2269559.5499999998</v>
      </c>
      <c r="M244" s="8"/>
      <c r="N244" s="269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74194.509999999995</v>
      </c>
      <c r="G245" s="18">
        <v>30305.86</v>
      </c>
      <c r="H245" s="18">
        <v>65607.37</v>
      </c>
      <c r="I245" s="18">
        <v>0</v>
      </c>
      <c r="J245" s="18">
        <v>0</v>
      </c>
      <c r="K245" s="18">
        <v>0</v>
      </c>
      <c r="L245" s="19">
        <f>SUM(F245:K245)</f>
        <v>170107.74</v>
      </c>
      <c r="M245" s="8"/>
      <c r="N245" s="269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69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25084123.82</v>
      </c>
      <c r="G247" s="41">
        <f t="shared" si="5"/>
        <v>10347371.209999999</v>
      </c>
      <c r="H247" s="41">
        <f t="shared" si="5"/>
        <v>9279354.25</v>
      </c>
      <c r="I247" s="41">
        <f t="shared" si="5"/>
        <v>866979.3</v>
      </c>
      <c r="J247" s="41">
        <f t="shared" si="5"/>
        <v>380701.2</v>
      </c>
      <c r="K247" s="41">
        <f t="shared" si="5"/>
        <v>-232997.86</v>
      </c>
      <c r="L247" s="41">
        <f t="shared" si="5"/>
        <v>45725531.920000009</v>
      </c>
      <c r="M247" s="8"/>
      <c r="N247" s="269"/>
    </row>
    <row r="248" spans="1:14" s="3" customFormat="1" ht="12" customHeight="1" x14ac:dyDescent="0.15">
      <c r="A248" s="69"/>
      <c r="B248" s="36"/>
      <c r="C248" s="37"/>
      <c r="D248" s="37"/>
      <c r="E248" s="37"/>
      <c r="F248" s="176" t="s">
        <v>692</v>
      </c>
      <c r="G248" s="176" t="s">
        <v>693</v>
      </c>
      <c r="H248" s="176" t="s">
        <v>694</v>
      </c>
      <c r="I248" s="176" t="s">
        <v>695</v>
      </c>
      <c r="J248" s="176" t="s">
        <v>696</v>
      </c>
      <c r="K248" s="176" t="s">
        <v>697</v>
      </c>
      <c r="L248" s="66"/>
      <c r="M248" s="8"/>
      <c r="N248" s="269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9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86827.85</v>
      </c>
      <c r="G251" s="18">
        <v>25261.72</v>
      </c>
      <c r="H251" s="18">
        <v>80</v>
      </c>
      <c r="I251" s="18">
        <v>0</v>
      </c>
      <c r="J251" s="18">
        <v>0</v>
      </c>
      <c r="K251" s="18">
        <v>0</v>
      </c>
      <c r="L251" s="19">
        <f t="shared" si="6"/>
        <v>112169.57</v>
      </c>
      <c r="M251" s="8"/>
      <c r="N251" s="269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69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>
        <v>200403</v>
      </c>
      <c r="L255" s="19">
        <f t="shared" si="6"/>
        <v>200403</v>
      </c>
      <c r="M255" s="8"/>
      <c r="N255" s="269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86827.85</v>
      </c>
      <c r="G256" s="41">
        <f t="shared" si="7"/>
        <v>25261.72</v>
      </c>
      <c r="H256" s="41">
        <f t="shared" si="7"/>
        <v>80</v>
      </c>
      <c r="I256" s="41">
        <f t="shared" si="7"/>
        <v>0</v>
      </c>
      <c r="J256" s="41">
        <f t="shared" si="7"/>
        <v>0</v>
      </c>
      <c r="K256" s="41">
        <f t="shared" si="7"/>
        <v>200403</v>
      </c>
      <c r="L256" s="41">
        <f>SUM(F256:K256)</f>
        <v>312572.57</v>
      </c>
      <c r="M256" s="8"/>
      <c r="N256" s="269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82668855.139999986</v>
      </c>
      <c r="G257" s="41">
        <f t="shared" si="8"/>
        <v>33300778.479999997</v>
      </c>
      <c r="H257" s="41">
        <f t="shared" si="8"/>
        <v>20983850.02</v>
      </c>
      <c r="I257" s="41">
        <f t="shared" si="8"/>
        <v>2489611.0700000003</v>
      </c>
      <c r="J257" s="41">
        <f t="shared" si="8"/>
        <v>1213132.0699999998</v>
      </c>
      <c r="K257" s="41">
        <f t="shared" si="8"/>
        <v>-77747.77999999997</v>
      </c>
      <c r="L257" s="41">
        <f t="shared" si="8"/>
        <v>140578479</v>
      </c>
      <c r="M257" s="8"/>
      <c r="N257" s="269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69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69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8329240</v>
      </c>
      <c r="L260" s="19">
        <f>SUM(F260:K260)</f>
        <v>8329240</v>
      </c>
      <c r="M260" s="8"/>
      <c r="N260" s="269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2597760</v>
      </c>
      <c r="L261" s="19">
        <f>SUM(F261:K261)</f>
        <v>2597760</v>
      </c>
      <c r="N261" s="18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18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18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18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18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18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18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18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18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10927000</v>
      </c>
      <c r="L270" s="41">
        <f t="shared" si="9"/>
        <v>10927000</v>
      </c>
      <c r="N270" s="18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82668855.139999986</v>
      </c>
      <c r="G271" s="42">
        <f t="shared" si="11"/>
        <v>33300778.479999997</v>
      </c>
      <c r="H271" s="42">
        <f t="shared" si="11"/>
        <v>20983850.02</v>
      </c>
      <c r="I271" s="42">
        <f t="shared" si="11"/>
        <v>2489611.0700000003</v>
      </c>
      <c r="J271" s="42">
        <f t="shared" si="11"/>
        <v>1213132.0699999998</v>
      </c>
      <c r="K271" s="42">
        <f t="shared" si="11"/>
        <v>10849252.220000001</v>
      </c>
      <c r="L271" s="42">
        <f t="shared" si="11"/>
        <v>151505479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466</v>
      </c>
      <c r="F273" s="176" t="s">
        <v>692</v>
      </c>
      <c r="G273" s="176" t="s">
        <v>693</v>
      </c>
      <c r="H273" s="176" t="s">
        <v>694</v>
      </c>
      <c r="I273" s="176" t="s">
        <v>695</v>
      </c>
      <c r="J273" s="176" t="s">
        <v>696</v>
      </c>
      <c r="K273" s="176" t="s">
        <v>697</v>
      </c>
      <c r="M273" s="8"/>
      <c r="N273" s="269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69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72635.64</v>
      </c>
      <c r="G276" s="18">
        <v>15320.72</v>
      </c>
      <c r="H276" s="18">
        <v>0</v>
      </c>
      <c r="I276" s="18">
        <v>276.17</v>
      </c>
      <c r="J276" s="18">
        <v>14142.4</v>
      </c>
      <c r="K276" s="18">
        <v>0</v>
      </c>
      <c r="L276" s="19">
        <f>SUM(F276:K276)</f>
        <v>102374.93</v>
      </c>
      <c r="M276" s="8"/>
      <c r="N276" s="269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2436091.4900000002</v>
      </c>
      <c r="G277" s="18">
        <v>660870.72999999986</v>
      </c>
      <c r="H277" s="18">
        <v>301170.81000000006</v>
      </c>
      <c r="I277" s="18">
        <v>94957.55</v>
      </c>
      <c r="J277" s="18">
        <v>644473.23</v>
      </c>
      <c r="K277" s="18">
        <v>0</v>
      </c>
      <c r="L277" s="19">
        <f>SUM(F277:K277)</f>
        <v>4137563.81</v>
      </c>
      <c r="M277" s="8"/>
      <c r="N277" s="269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386662.40000000002</v>
      </c>
      <c r="G279" s="18">
        <v>82860.639999999999</v>
      </c>
      <c r="H279" s="18">
        <v>6109.78</v>
      </c>
      <c r="I279" s="18">
        <v>61080.399999999994</v>
      </c>
      <c r="J279" s="18">
        <v>0</v>
      </c>
      <c r="K279" s="18">
        <v>0</v>
      </c>
      <c r="L279" s="19">
        <f>SUM(F279:K279)</f>
        <v>536713.22000000009</v>
      </c>
      <c r="M279" s="8"/>
      <c r="N279" s="269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69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52980</v>
      </c>
      <c r="G281" s="18">
        <v>23397</v>
      </c>
      <c r="H281" s="18">
        <v>195196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271573</v>
      </c>
      <c r="M281" s="8"/>
      <c r="N281" s="269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535809.52</v>
      </c>
      <c r="G282" s="18">
        <v>225835.56</v>
      </c>
      <c r="H282" s="18">
        <v>234334.68</v>
      </c>
      <c r="I282" s="18">
        <v>32932.050000000003</v>
      </c>
      <c r="J282" s="18">
        <v>10378.799999999999</v>
      </c>
      <c r="K282" s="18">
        <v>0</v>
      </c>
      <c r="L282" s="19">
        <f t="shared" si="12"/>
        <v>1039290.6100000001</v>
      </c>
      <c r="M282" s="8"/>
      <c r="N282" s="269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69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87105.82</v>
      </c>
      <c r="G284" s="18">
        <v>49799.45</v>
      </c>
      <c r="H284" s="18">
        <v>686.21</v>
      </c>
      <c r="I284" s="18">
        <v>0</v>
      </c>
      <c r="J284" s="18">
        <v>0</v>
      </c>
      <c r="K284" s="18">
        <v>0</v>
      </c>
      <c r="L284" s="19">
        <f t="shared" si="12"/>
        <v>137591.48000000001</v>
      </c>
      <c r="M284" s="8"/>
      <c r="N284" s="269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143023.96000000002</v>
      </c>
      <c r="L285" s="19">
        <f t="shared" si="12"/>
        <v>143023.96000000002</v>
      </c>
      <c r="M285" s="8"/>
      <c r="N285" s="269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48956.31</v>
      </c>
      <c r="G286" s="18">
        <v>0</v>
      </c>
      <c r="H286" s="18">
        <v>21088.959999999999</v>
      </c>
      <c r="I286" s="18">
        <v>0</v>
      </c>
      <c r="J286" s="18">
        <v>0</v>
      </c>
      <c r="K286" s="18">
        <v>26361.1</v>
      </c>
      <c r="L286" s="19">
        <f t="shared" si="12"/>
        <v>96406.37</v>
      </c>
      <c r="M286" s="8"/>
      <c r="N286" s="269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13610.6</v>
      </c>
      <c r="I287" s="18">
        <v>0</v>
      </c>
      <c r="J287" s="18">
        <v>0</v>
      </c>
      <c r="K287" s="18">
        <v>0</v>
      </c>
      <c r="L287" s="19">
        <f t="shared" si="12"/>
        <v>13610.6</v>
      </c>
      <c r="M287" s="8"/>
      <c r="N287" s="269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312.8</v>
      </c>
      <c r="J288" s="18">
        <v>0</v>
      </c>
      <c r="K288" s="18">
        <v>0</v>
      </c>
      <c r="L288" s="19">
        <f>SUM(F288:K288)</f>
        <v>312.8</v>
      </c>
      <c r="M288" s="8"/>
      <c r="N288" s="269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69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3620241.18</v>
      </c>
      <c r="G290" s="42">
        <f t="shared" si="13"/>
        <v>1058084.0999999999</v>
      </c>
      <c r="H290" s="42">
        <f t="shared" si="13"/>
        <v>772197.03999999992</v>
      </c>
      <c r="I290" s="42">
        <f t="shared" si="13"/>
        <v>189558.96999999997</v>
      </c>
      <c r="J290" s="42">
        <f t="shared" si="13"/>
        <v>668994.43000000005</v>
      </c>
      <c r="K290" s="42">
        <f t="shared" si="13"/>
        <v>169385.06000000003</v>
      </c>
      <c r="L290" s="41">
        <f t="shared" si="13"/>
        <v>6478460.7800000003</v>
      </c>
      <c r="M290" s="8"/>
      <c r="N290" s="269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9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6" t="s">
        <v>692</v>
      </c>
      <c r="G292" s="176" t="s">
        <v>693</v>
      </c>
      <c r="H292" s="176" t="s">
        <v>694</v>
      </c>
      <c r="I292" s="176" t="s">
        <v>695</v>
      </c>
      <c r="J292" s="176" t="s">
        <v>696</v>
      </c>
      <c r="K292" s="176" t="s">
        <v>697</v>
      </c>
      <c r="L292" s="17"/>
      <c r="M292" s="8"/>
      <c r="N292" s="269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69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232163.84</v>
      </c>
      <c r="G296" s="18">
        <v>101032.34999999999</v>
      </c>
      <c r="H296" s="18">
        <v>10384</v>
      </c>
      <c r="I296" s="18">
        <v>0</v>
      </c>
      <c r="J296" s="18">
        <v>51136</v>
      </c>
      <c r="K296" s="18">
        <v>0</v>
      </c>
      <c r="L296" s="19">
        <f>SUM(F296:K296)</f>
        <v>394716.19</v>
      </c>
      <c r="M296" s="8"/>
      <c r="N296" s="269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9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69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25290</v>
      </c>
      <c r="G300" s="18">
        <v>11169</v>
      </c>
      <c r="H300" s="18">
        <v>93177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129636</v>
      </c>
      <c r="M300" s="8"/>
      <c r="N300" s="269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106270</v>
      </c>
      <c r="G301" s="18">
        <v>43039</v>
      </c>
      <c r="H301" s="18">
        <v>77132</v>
      </c>
      <c r="I301" s="18">
        <v>6571</v>
      </c>
      <c r="J301" s="18">
        <v>4295</v>
      </c>
      <c r="K301" s="18">
        <v>0</v>
      </c>
      <c r="L301" s="19">
        <f t="shared" si="14"/>
        <v>237307</v>
      </c>
      <c r="M301" s="8"/>
      <c r="N301" s="269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69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30381.49</v>
      </c>
      <c r="L304" s="19">
        <f t="shared" si="14"/>
        <v>30381.49</v>
      </c>
      <c r="M304" s="8"/>
      <c r="N304" s="269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23413.89</v>
      </c>
      <c r="G305" s="18">
        <v>0</v>
      </c>
      <c r="H305" s="18">
        <v>0</v>
      </c>
      <c r="I305" s="18">
        <v>0</v>
      </c>
      <c r="J305" s="18">
        <v>0</v>
      </c>
      <c r="K305" s="18">
        <v>12607.48</v>
      </c>
      <c r="L305" s="19">
        <f t="shared" si="14"/>
        <v>36021.369999999995</v>
      </c>
      <c r="M305" s="8"/>
      <c r="N305" s="269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3676</v>
      </c>
      <c r="I306" s="18">
        <v>0</v>
      </c>
      <c r="J306" s="18">
        <v>0</v>
      </c>
      <c r="K306" s="18">
        <v>0</v>
      </c>
      <c r="L306" s="19">
        <f t="shared" si="14"/>
        <v>3676</v>
      </c>
      <c r="M306" s="8"/>
      <c r="N306" s="269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69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387137.73</v>
      </c>
      <c r="G309" s="42">
        <f t="shared" si="15"/>
        <v>155240.34999999998</v>
      </c>
      <c r="H309" s="42">
        <f t="shared" si="15"/>
        <v>184369</v>
      </c>
      <c r="I309" s="42">
        <f t="shared" si="15"/>
        <v>6571</v>
      </c>
      <c r="J309" s="42">
        <f t="shared" si="15"/>
        <v>55431</v>
      </c>
      <c r="K309" s="42">
        <f t="shared" si="15"/>
        <v>42988.97</v>
      </c>
      <c r="L309" s="41">
        <f t="shared" si="15"/>
        <v>831738.04999999993</v>
      </c>
      <c r="N309" s="180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9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6" t="s">
        <v>692</v>
      </c>
      <c r="G311" s="176" t="s">
        <v>693</v>
      </c>
      <c r="H311" s="176" t="s">
        <v>694</v>
      </c>
      <c r="I311" s="176" t="s">
        <v>695</v>
      </c>
      <c r="J311" s="176" t="s">
        <v>696</v>
      </c>
      <c r="K311" s="176" t="s">
        <v>697</v>
      </c>
      <c r="L311" s="20"/>
      <c r="M311" s="8"/>
      <c r="N311" s="269"/>
    </row>
    <row r="312" spans="1:14" s="3" customFormat="1" ht="12" customHeight="1" x14ac:dyDescent="0.15">
      <c r="A312" s="29" t="s">
        <v>453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69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548.20000000000005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548.20000000000005</v>
      </c>
      <c r="M314" s="8"/>
      <c r="N314" s="269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404751.03</v>
      </c>
      <c r="G315" s="18">
        <v>144825.00999999998</v>
      </c>
      <c r="H315" s="18">
        <v>54303.56</v>
      </c>
      <c r="I315" s="18">
        <v>0</v>
      </c>
      <c r="J315" s="18">
        <v>33600.550000000003</v>
      </c>
      <c r="K315" s="18">
        <v>0</v>
      </c>
      <c r="L315" s="19">
        <f>SUM(F315:K315)</f>
        <v>637480.15000000014</v>
      </c>
      <c r="M315" s="8"/>
      <c r="N315" s="269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57227.159999999996</v>
      </c>
      <c r="G316" s="18">
        <v>16390.09</v>
      </c>
      <c r="H316" s="18">
        <v>56789.62</v>
      </c>
      <c r="I316" s="18">
        <v>6575.22</v>
      </c>
      <c r="J316" s="18">
        <v>162592.42000000001</v>
      </c>
      <c r="K316" s="18">
        <v>0</v>
      </c>
      <c r="L316" s="19">
        <f>SUM(F316:K316)</f>
        <v>299574.51</v>
      </c>
      <c r="M316" s="8"/>
      <c r="N316" s="269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171827.33000000002</v>
      </c>
      <c r="G317" s="18">
        <v>1725.42</v>
      </c>
      <c r="H317" s="18">
        <v>1661</v>
      </c>
      <c r="I317" s="18">
        <v>63504.310000000005</v>
      </c>
      <c r="J317" s="18">
        <v>3139.4</v>
      </c>
      <c r="K317" s="18">
        <v>185642.18</v>
      </c>
      <c r="L317" s="19">
        <f>SUM(F317:K317)</f>
        <v>427499.64</v>
      </c>
      <c r="M317" s="8"/>
      <c r="N317" s="269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69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66636.95</v>
      </c>
      <c r="G319" s="18">
        <v>34350.06</v>
      </c>
      <c r="H319" s="18">
        <v>164564.5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265551.51</v>
      </c>
      <c r="M319" s="8"/>
      <c r="N319" s="269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168717.08</v>
      </c>
      <c r="G320" s="18">
        <v>66053.66</v>
      </c>
      <c r="H320" s="18">
        <v>159309.38999999998</v>
      </c>
      <c r="I320" s="18">
        <v>21127.42</v>
      </c>
      <c r="J320" s="18">
        <v>11914.39</v>
      </c>
      <c r="K320" s="18">
        <v>0</v>
      </c>
      <c r="L320" s="19">
        <f t="shared" si="16"/>
        <v>427121.94</v>
      </c>
      <c r="M320" s="8"/>
      <c r="N320" s="269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52909.07</v>
      </c>
      <c r="L323" s="19">
        <f t="shared" si="16"/>
        <v>52909.07</v>
      </c>
      <c r="M323" s="8"/>
      <c r="N323" s="269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34056.57</v>
      </c>
      <c r="G324" s="18">
        <v>0</v>
      </c>
      <c r="H324" s="18">
        <v>2911.04</v>
      </c>
      <c r="I324" s="18">
        <v>0</v>
      </c>
      <c r="J324" s="18">
        <v>0</v>
      </c>
      <c r="K324" s="18">
        <v>18338.150000000001</v>
      </c>
      <c r="L324" s="19">
        <f t="shared" si="16"/>
        <v>55305.760000000002</v>
      </c>
      <c r="M324" s="8"/>
      <c r="N324" s="269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12486.81</v>
      </c>
      <c r="I325" s="18">
        <v>0</v>
      </c>
      <c r="J325" s="18">
        <v>0</v>
      </c>
      <c r="K325" s="18">
        <v>0</v>
      </c>
      <c r="L325" s="19">
        <f t="shared" si="16"/>
        <v>12486.81</v>
      </c>
      <c r="M325" s="8"/>
      <c r="N325" s="269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69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903216.11999999988</v>
      </c>
      <c r="G328" s="42">
        <f t="shared" si="17"/>
        <v>263892.44</v>
      </c>
      <c r="H328" s="42">
        <f t="shared" si="17"/>
        <v>452025.91999999993</v>
      </c>
      <c r="I328" s="42">
        <f t="shared" si="17"/>
        <v>91206.95</v>
      </c>
      <c r="J328" s="42">
        <f t="shared" si="17"/>
        <v>211246.76</v>
      </c>
      <c r="K328" s="42">
        <f t="shared" si="17"/>
        <v>256889.4</v>
      </c>
      <c r="L328" s="41">
        <f t="shared" si="17"/>
        <v>2178477.59</v>
      </c>
      <c r="M328" s="8"/>
      <c r="N328" s="269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9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6" t="s">
        <v>692</v>
      </c>
      <c r="G330" s="176" t="s">
        <v>693</v>
      </c>
      <c r="H330" s="176" t="s">
        <v>694</v>
      </c>
      <c r="I330" s="176" t="s">
        <v>695</v>
      </c>
      <c r="J330" s="176" t="s">
        <v>696</v>
      </c>
      <c r="K330" s="176" t="s">
        <v>697</v>
      </c>
      <c r="L330" s="19"/>
      <c r="M330" s="8"/>
      <c r="N330" s="269"/>
    </row>
    <row r="331" spans="1:14" s="3" customFormat="1" ht="12" customHeight="1" x14ac:dyDescent="0.15">
      <c r="A331" s="29" t="s">
        <v>361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9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13598.54</v>
      </c>
      <c r="G332" s="18">
        <v>934.16000000000008</v>
      </c>
      <c r="H332" s="18">
        <v>28641.07</v>
      </c>
      <c r="I332" s="18">
        <v>4930.24</v>
      </c>
      <c r="J332" s="18">
        <v>5080</v>
      </c>
      <c r="K332" s="18">
        <v>0</v>
      </c>
      <c r="L332" s="19">
        <f t="shared" ref="L332:L337" si="18">SUM(F332:K332)</f>
        <v>53184.01</v>
      </c>
      <c r="M332" s="8"/>
      <c r="N332" s="269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164151.89000000001</v>
      </c>
      <c r="G333" s="18">
        <v>25081.530000000002</v>
      </c>
      <c r="H333" s="18">
        <v>17688.650000000001</v>
      </c>
      <c r="I333" s="18">
        <v>13213.17</v>
      </c>
      <c r="J333" s="18">
        <v>10911.369999999999</v>
      </c>
      <c r="K333" s="18">
        <v>0</v>
      </c>
      <c r="L333" s="19">
        <f t="shared" si="18"/>
        <v>231046.61000000002</v>
      </c>
      <c r="M333" s="8"/>
      <c r="N333" s="269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177750.43000000002</v>
      </c>
      <c r="G337" s="41">
        <f t="shared" si="19"/>
        <v>26015.690000000002</v>
      </c>
      <c r="H337" s="41">
        <f t="shared" si="19"/>
        <v>46329.72</v>
      </c>
      <c r="I337" s="41">
        <f t="shared" si="19"/>
        <v>18143.41</v>
      </c>
      <c r="J337" s="41">
        <f t="shared" si="19"/>
        <v>15991.369999999999</v>
      </c>
      <c r="K337" s="41">
        <f t="shared" si="19"/>
        <v>0</v>
      </c>
      <c r="L337" s="41">
        <f t="shared" si="18"/>
        <v>284230.62</v>
      </c>
      <c r="M337" s="8"/>
      <c r="N337" s="269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5088345.46</v>
      </c>
      <c r="G338" s="41">
        <f t="shared" si="20"/>
        <v>1503232.5799999996</v>
      </c>
      <c r="H338" s="41">
        <f t="shared" si="20"/>
        <v>1454921.68</v>
      </c>
      <c r="I338" s="41">
        <f t="shared" si="20"/>
        <v>305480.32999999996</v>
      </c>
      <c r="J338" s="41">
        <f t="shared" si="20"/>
        <v>951663.56</v>
      </c>
      <c r="K338" s="41">
        <f t="shared" si="20"/>
        <v>469263.43000000005</v>
      </c>
      <c r="L338" s="41">
        <f t="shared" si="20"/>
        <v>9772907.0399999991</v>
      </c>
      <c r="M338" s="8"/>
      <c r="N338" s="269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69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16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69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5088345.46</v>
      </c>
      <c r="G352" s="41">
        <f>G338</f>
        <v>1503232.5799999996</v>
      </c>
      <c r="H352" s="41">
        <f>H338</f>
        <v>1454921.68</v>
      </c>
      <c r="I352" s="41">
        <f>I338</f>
        <v>305480.32999999996</v>
      </c>
      <c r="J352" s="41">
        <f>J338</f>
        <v>951663.56</v>
      </c>
      <c r="K352" s="47">
        <f>K338+K351</f>
        <v>469263.43000000005</v>
      </c>
      <c r="L352" s="41">
        <f>L338+L351</f>
        <v>9772907.0399999991</v>
      </c>
      <c r="M352" s="52"/>
      <c r="N352" s="216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692</v>
      </c>
      <c r="G354" s="176" t="s">
        <v>693</v>
      </c>
      <c r="H354" s="176" t="s">
        <v>694</v>
      </c>
      <c r="I354" s="176" t="s">
        <v>695</v>
      </c>
      <c r="J354" s="176" t="s">
        <v>696</v>
      </c>
      <c r="K354" s="176" t="s">
        <v>697</v>
      </c>
      <c r="L354" s="53"/>
      <c r="M354" s="8"/>
      <c r="N354" s="269"/>
    </row>
    <row r="355" spans="1:22" s="3" customFormat="1" ht="12" customHeight="1" x14ac:dyDescent="0.15">
      <c r="A355" s="29" t="s">
        <v>281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9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69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69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767489.51</v>
      </c>
      <c r="G358" s="18">
        <v>256271.28000000003</v>
      </c>
      <c r="H358" s="18">
        <v>45515.360000000001</v>
      </c>
      <c r="I358" s="18">
        <v>965381.33</v>
      </c>
      <c r="J358" s="18">
        <v>28823.53</v>
      </c>
      <c r="K358" s="18">
        <v>0</v>
      </c>
      <c r="L358" s="13">
        <f>SUM(F358:K358)</f>
        <v>2063481.01</v>
      </c>
      <c r="N358" s="18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455428.10000000003</v>
      </c>
      <c r="G359" s="18">
        <v>134204.72000000003</v>
      </c>
      <c r="H359" s="18">
        <v>20468.38</v>
      </c>
      <c r="I359" s="18">
        <v>483178.05</v>
      </c>
      <c r="J359" s="18">
        <v>11475.86</v>
      </c>
      <c r="K359" s="18">
        <v>0</v>
      </c>
      <c r="L359" s="19">
        <f>SUM(F359:K359)</f>
        <v>1104755.1100000001</v>
      </c>
      <c r="M359" s="8"/>
      <c r="N359" s="269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626991.79</v>
      </c>
      <c r="G360" s="18">
        <v>235022.95</v>
      </c>
      <c r="H360" s="18">
        <v>31127.09</v>
      </c>
      <c r="I360" s="18">
        <v>741330.61999999988</v>
      </c>
      <c r="J360" s="18">
        <v>15037.52</v>
      </c>
      <c r="K360" s="18">
        <v>0</v>
      </c>
      <c r="L360" s="19">
        <f>SUM(F360:K360)</f>
        <v>1649509.9699999997</v>
      </c>
      <c r="M360" s="8"/>
      <c r="N360" s="269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1849909.4000000001</v>
      </c>
      <c r="G362" s="47">
        <f t="shared" si="22"/>
        <v>625498.95000000007</v>
      </c>
      <c r="H362" s="47">
        <f t="shared" si="22"/>
        <v>97110.83</v>
      </c>
      <c r="I362" s="47">
        <f t="shared" si="22"/>
        <v>2189890</v>
      </c>
      <c r="J362" s="47">
        <f t="shared" si="22"/>
        <v>55336.91</v>
      </c>
      <c r="K362" s="47">
        <f t="shared" si="22"/>
        <v>0</v>
      </c>
      <c r="L362" s="47">
        <f t="shared" si="22"/>
        <v>4817746.09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69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865303.89999999979</v>
      </c>
      <c r="G367" s="18">
        <v>431440.06</v>
      </c>
      <c r="H367" s="18">
        <v>673342.6399999999</v>
      </c>
      <c r="I367" s="56">
        <f>SUM(F367:H367)</f>
        <v>1970086.5999999996</v>
      </c>
      <c r="J367" s="24" t="s">
        <v>288</v>
      </c>
      <c r="K367" s="24" t="s">
        <v>288</v>
      </c>
      <c r="L367" s="24" t="s">
        <v>288</v>
      </c>
      <c r="M367" s="8"/>
      <c r="N367" s="269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18">
        <v>100077.42999999998</v>
      </c>
      <c r="G368" s="18">
        <v>51737.99</v>
      </c>
      <c r="H368" s="18">
        <v>67987.98</v>
      </c>
      <c r="I368" s="56">
        <f>SUM(F368:H368)</f>
        <v>219803.39999999997</v>
      </c>
      <c r="J368" s="24" t="s">
        <v>288</v>
      </c>
      <c r="K368" s="24" t="s">
        <v>288</v>
      </c>
      <c r="L368" s="24" t="s">
        <v>288</v>
      </c>
      <c r="M368" s="8"/>
      <c r="N368" s="269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965381.32999999973</v>
      </c>
      <c r="G369" s="47">
        <f>SUM(G367:G368)</f>
        <v>483178.05</v>
      </c>
      <c r="H369" s="47">
        <f>SUM(H367:H368)</f>
        <v>741330.61999999988</v>
      </c>
      <c r="I369" s="47">
        <f>SUM(I367:I368)</f>
        <v>2189889.9999999995</v>
      </c>
      <c r="J369" s="24" t="s">
        <v>288</v>
      </c>
      <c r="K369" s="24" t="s">
        <v>288</v>
      </c>
      <c r="L369" s="24" t="s">
        <v>288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6" t="s">
        <v>692</v>
      </c>
      <c r="G371" s="176" t="s">
        <v>693</v>
      </c>
      <c r="H371" s="176" t="s">
        <v>694</v>
      </c>
      <c r="I371" s="176" t="s">
        <v>695</v>
      </c>
      <c r="J371" s="176" t="s">
        <v>696</v>
      </c>
      <c r="K371" s="176" t="s">
        <v>697</v>
      </c>
      <c r="L371" s="13"/>
      <c r="M371" s="8"/>
      <c r="N371" s="269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9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69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>
        <v>3671610.23</v>
      </c>
      <c r="L379" s="13">
        <f t="shared" si="23"/>
        <v>3671610.23</v>
      </c>
      <c r="M379" s="8"/>
      <c r="N379" s="269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3671610.23</v>
      </c>
      <c r="L382" s="47">
        <f t="shared" si="24"/>
        <v>3671610.23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482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6" t="s">
        <v>340</v>
      </c>
      <c r="M386" s="8"/>
      <c r="N386" s="269"/>
    </row>
    <row r="387" spans="1:14" s="3" customFormat="1" ht="12" customHeight="1" x14ac:dyDescent="0.15">
      <c r="A387" s="78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8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8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8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8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8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7997.89</v>
      </c>
      <c r="I392" s="18"/>
      <c r="J392" s="24" t="s">
        <v>288</v>
      </c>
      <c r="K392" s="24" t="s">
        <v>288</v>
      </c>
      <c r="L392" s="56">
        <f t="shared" si="25"/>
        <v>7997.89</v>
      </c>
      <c r="M392" s="8"/>
      <c r="N392" s="269"/>
    </row>
    <row r="393" spans="1:14" s="3" customFormat="1" ht="12" customHeight="1" thickTop="1" x14ac:dyDescent="0.15">
      <c r="A393" s="159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7997.89</v>
      </c>
      <c r="I393" s="64">
        <f>SUM(I387:I392)</f>
        <v>0</v>
      </c>
      <c r="J393" s="45" t="s">
        <v>288</v>
      </c>
      <c r="K393" s="45" t="s">
        <v>288</v>
      </c>
      <c r="L393" s="47">
        <f>SUM(L387:L392)</f>
        <v>7997.89</v>
      </c>
      <c r="M393" s="8"/>
      <c r="N393" s="269"/>
    </row>
    <row r="394" spans="1:14" s="3" customFormat="1" ht="12" customHeight="1" x14ac:dyDescent="0.15">
      <c r="A394" s="77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69"/>
    </row>
    <row r="395" spans="1:14" s="3" customFormat="1" ht="12" customHeight="1" x14ac:dyDescent="0.15">
      <c r="A395" s="78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8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69"/>
    </row>
    <row r="397" spans="1:14" s="3" customFormat="1" ht="12" customHeight="1" x14ac:dyDescent="0.15">
      <c r="A397" s="78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8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8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8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6402.91</v>
      </c>
      <c r="I400" s="18">
        <v>277702.23</v>
      </c>
      <c r="J400" s="24" t="s">
        <v>288</v>
      </c>
      <c r="K400" s="24" t="s">
        <v>288</v>
      </c>
      <c r="L400" s="56">
        <f t="shared" si="26"/>
        <v>284105.13999999996</v>
      </c>
      <c r="M400" s="8"/>
      <c r="N400" s="269"/>
    </row>
    <row r="401" spans="1:21" s="3" customFormat="1" ht="12" customHeight="1" thickTop="1" x14ac:dyDescent="0.15">
      <c r="A401" s="159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6402.91</v>
      </c>
      <c r="I401" s="47">
        <f>SUM(I395:I400)</f>
        <v>277702.23</v>
      </c>
      <c r="J401" s="45" t="s">
        <v>288</v>
      </c>
      <c r="K401" s="45" t="s">
        <v>288</v>
      </c>
      <c r="L401" s="47">
        <f>SUM(L395:L400)</f>
        <v>284105.13999999996</v>
      </c>
      <c r="M401" s="8"/>
      <c r="N401" s="269"/>
    </row>
    <row r="402" spans="1:21" s="3" customFormat="1" ht="12" customHeight="1" x14ac:dyDescent="0.15">
      <c r="A402" s="77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69"/>
    </row>
    <row r="403" spans="1:21" s="3" customFormat="1" ht="12" customHeight="1" x14ac:dyDescent="0.15">
      <c r="A403" s="109" t="s">
        <v>914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v>526639.17000000004</v>
      </c>
      <c r="I403" s="18">
        <v>32833.17</v>
      </c>
      <c r="J403" s="24" t="s">
        <v>288</v>
      </c>
      <c r="K403" s="24" t="s">
        <v>288</v>
      </c>
      <c r="L403" s="56">
        <f>SUM(F403:K403)</f>
        <v>559472.34000000008</v>
      </c>
      <c r="M403" s="8"/>
      <c r="N403" s="269"/>
    </row>
    <row r="404" spans="1:21" s="3" customFormat="1" ht="12" customHeight="1" x14ac:dyDescent="0.15">
      <c r="A404" s="109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09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09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9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526639.17000000004</v>
      </c>
      <c r="I407" s="47">
        <f>SUM(I403:I406)</f>
        <v>32833.17</v>
      </c>
      <c r="J407" s="49" t="s">
        <v>288</v>
      </c>
      <c r="K407" s="49" t="s">
        <v>288</v>
      </c>
      <c r="L407" s="47">
        <f>SUM(L403:L406)</f>
        <v>559472.34000000008</v>
      </c>
      <c r="M407" s="8"/>
      <c r="N407" s="269"/>
    </row>
    <row r="408" spans="1:21" s="3" customFormat="1" ht="12" customHeight="1" thickTop="1" x14ac:dyDescent="0.15">
      <c r="A408" s="77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541039.97000000009</v>
      </c>
      <c r="I408" s="47">
        <f>I393+I401+I407</f>
        <v>310535.39999999997</v>
      </c>
      <c r="J408" s="24" t="s">
        <v>288</v>
      </c>
      <c r="K408" s="24" t="s">
        <v>288</v>
      </c>
      <c r="L408" s="47">
        <f>L393+L401+L407</f>
        <v>851575.37000000011</v>
      </c>
      <c r="M408" s="8"/>
      <c r="N408" s="269"/>
    </row>
    <row r="409" spans="1:21" s="3" customFormat="1" ht="12" customHeight="1" x14ac:dyDescent="0.15">
      <c r="A409" s="77"/>
      <c r="B409" s="2"/>
      <c r="C409" s="6"/>
      <c r="D409" s="6"/>
      <c r="E409" s="6"/>
      <c r="F409" s="176" t="s">
        <v>692</v>
      </c>
      <c r="G409" s="176" t="s">
        <v>693</v>
      </c>
      <c r="H409" s="176" t="s">
        <v>694</v>
      </c>
      <c r="I409" s="176" t="s">
        <v>695</v>
      </c>
      <c r="J409" s="176" t="s">
        <v>696</v>
      </c>
      <c r="K409" s="176" t="s">
        <v>697</v>
      </c>
      <c r="L409" s="56"/>
      <c r="M409" s="8"/>
      <c r="N409" s="269"/>
    </row>
    <row r="410" spans="1:21" s="3" customFormat="1" ht="12" customHeight="1" x14ac:dyDescent="0.15">
      <c r="A410" s="26" t="s">
        <v>482</v>
      </c>
      <c r="B410" s="75"/>
      <c r="C410" s="75"/>
      <c r="D410" s="75"/>
      <c r="E410" s="75"/>
      <c r="F410" s="65"/>
      <c r="G410" s="16" t="s">
        <v>384</v>
      </c>
      <c r="H410" s="16" t="s">
        <v>385</v>
      </c>
      <c r="I410" s="66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6" t="s">
        <v>340</v>
      </c>
      <c r="M411" s="8"/>
      <c r="N411" s="269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69"/>
    </row>
    <row r="413" spans="1:21" s="3" customFormat="1" ht="12" customHeight="1" x14ac:dyDescent="0.15">
      <c r="A413" s="78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8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6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8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8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>
        <v>127609.96</v>
      </c>
      <c r="K418" s="18">
        <v>1022274.15</v>
      </c>
      <c r="L418" s="56">
        <f t="shared" si="27"/>
        <v>1149884.1100000001</v>
      </c>
      <c r="M418" s="8"/>
      <c r="N418" s="269"/>
    </row>
    <row r="419" spans="1:21" s="3" customFormat="1" ht="12" customHeight="1" thickTop="1" x14ac:dyDescent="0.15">
      <c r="A419" s="159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127609.96</v>
      </c>
      <c r="K419" s="138">
        <f t="shared" si="28"/>
        <v>1022274.15</v>
      </c>
      <c r="L419" s="47">
        <f t="shared" si="28"/>
        <v>1149884.1100000001</v>
      </c>
      <c r="M419" s="8"/>
      <c r="N419" s="269"/>
    </row>
    <row r="420" spans="1:21" s="3" customFormat="1" ht="12" customHeight="1" x14ac:dyDescent="0.15">
      <c r="A420" s="77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69"/>
    </row>
    <row r="421" spans="1:21" s="3" customFormat="1" ht="12" customHeight="1" x14ac:dyDescent="0.15">
      <c r="A421" s="78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8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8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8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8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8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f>8763+900</f>
        <v>9663</v>
      </c>
      <c r="I426" s="18">
        <f>3510.44+19874.32+8905.41+3423.35</f>
        <v>35713.519999999997</v>
      </c>
      <c r="J426" s="18">
        <f>17470.05+1992+1755.56+37495.75</f>
        <v>58713.36</v>
      </c>
      <c r="K426" s="18">
        <v>200000</v>
      </c>
      <c r="L426" s="56">
        <f t="shared" si="29"/>
        <v>304089.88</v>
      </c>
      <c r="M426" s="8"/>
      <c r="N426" s="269"/>
    </row>
    <row r="427" spans="1:21" s="3" customFormat="1" ht="12" customHeight="1" thickTop="1" x14ac:dyDescent="0.15">
      <c r="A427" s="159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9663</v>
      </c>
      <c r="I427" s="47">
        <f t="shared" si="30"/>
        <v>35713.519999999997</v>
      </c>
      <c r="J427" s="47">
        <f t="shared" si="30"/>
        <v>58713.36</v>
      </c>
      <c r="K427" s="47">
        <f t="shared" si="30"/>
        <v>200000</v>
      </c>
      <c r="L427" s="47">
        <f t="shared" si="30"/>
        <v>304089.88</v>
      </c>
      <c r="M427" s="8"/>
      <c r="N427" s="269"/>
    </row>
    <row r="428" spans="1:21" s="11" customFormat="1" ht="12" customHeight="1" x14ac:dyDescent="0.15">
      <c r="A428" s="77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7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 t="s">
        <v>914</v>
      </c>
      <c r="B429" s="6">
        <v>17</v>
      </c>
      <c r="C429" s="6">
        <v>15</v>
      </c>
      <c r="D429" s="2" t="s">
        <v>432</v>
      </c>
      <c r="E429" s="6"/>
      <c r="F429" s="18"/>
      <c r="G429" s="18"/>
      <c r="H429" s="18">
        <v>177902.89</v>
      </c>
      <c r="I429" s="18"/>
      <c r="J429" s="18"/>
      <c r="K429" s="18"/>
      <c r="L429" s="56">
        <f>SUM(F429:K429)</f>
        <v>177902.89</v>
      </c>
      <c r="M429" s="67"/>
      <c r="N429" s="226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7"/>
      <c r="N430" s="226"/>
    </row>
    <row r="431" spans="1:21" ht="12" customHeight="1" x14ac:dyDescent="0.2">
      <c r="A431" s="109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0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9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177902.89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177902.89</v>
      </c>
      <c r="M433" s="8"/>
      <c r="N433" s="269"/>
    </row>
    <row r="434" spans="1:14" s="3" customFormat="1" ht="12" customHeight="1" thickTop="1" x14ac:dyDescent="0.15">
      <c r="A434" s="77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187565.89</v>
      </c>
      <c r="I434" s="47">
        <f t="shared" si="32"/>
        <v>35713.519999999997</v>
      </c>
      <c r="J434" s="47">
        <f t="shared" si="32"/>
        <v>186323.32</v>
      </c>
      <c r="K434" s="47">
        <f t="shared" si="32"/>
        <v>1222274.1499999999</v>
      </c>
      <c r="L434" s="47">
        <f t="shared" si="32"/>
        <v>1631876.8800000004</v>
      </c>
      <c r="M434" s="8"/>
      <c r="N434" s="269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69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963618.36</v>
      </c>
      <c r="G439" s="18">
        <f>115628.31+948067.25</f>
        <v>1063695.56</v>
      </c>
      <c r="H439" s="18">
        <f>90246.8</f>
        <v>90246.8</v>
      </c>
      <c r="I439" s="56">
        <f t="shared" ref="I439:I445" si="33">SUM(F439:H439)</f>
        <v>2117560.7199999997</v>
      </c>
      <c r="J439" s="24" t="s">
        <v>288</v>
      </c>
      <c r="K439" s="24" t="s">
        <v>288</v>
      </c>
      <c r="L439" s="24" t="s">
        <v>288</v>
      </c>
      <c r="M439" s="8"/>
      <c r="N439" s="269"/>
    </row>
    <row r="440" spans="1:14" s="3" customFormat="1" ht="12" customHeight="1" x14ac:dyDescent="0.15">
      <c r="A440" s="68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>
        <f>460487.03+3325040.12+2132254.27</f>
        <v>5917781.4199999999</v>
      </c>
      <c r="I440" s="56">
        <f t="shared" si="33"/>
        <v>5917781.4199999999</v>
      </c>
      <c r="J440" s="24" t="s">
        <v>288</v>
      </c>
      <c r="K440" s="24" t="s">
        <v>288</v>
      </c>
      <c r="L440" s="24" t="s">
        <v>288</v>
      </c>
      <c r="M440" s="8"/>
      <c r="N440" s="269"/>
    </row>
    <row r="441" spans="1:14" s="3" customFormat="1" ht="12" customHeight="1" x14ac:dyDescent="0.15">
      <c r="A441" s="68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85895.14</v>
      </c>
      <c r="H441" s="18"/>
      <c r="I441" s="56">
        <f t="shared" si="33"/>
        <v>85895.14</v>
      </c>
      <c r="J441" s="24" t="s">
        <v>288</v>
      </c>
      <c r="K441" s="24" t="s">
        <v>288</v>
      </c>
      <c r="L441" s="24" t="s">
        <v>288</v>
      </c>
      <c r="M441" s="8"/>
      <c r="N441" s="269"/>
    </row>
    <row r="442" spans="1:14" s="3" customFormat="1" ht="12" customHeight="1" x14ac:dyDescent="0.15">
      <c r="A442" s="68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69"/>
    </row>
    <row r="443" spans="1:14" s="3" customFormat="1" ht="12" customHeight="1" x14ac:dyDescent="0.15">
      <c r="A443" s="68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69"/>
    </row>
    <row r="444" spans="1:14" s="3" customFormat="1" ht="12" customHeight="1" x14ac:dyDescent="0.15">
      <c r="A444" s="68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69"/>
    </row>
    <row r="445" spans="1:14" s="3" customFormat="1" ht="12" customHeight="1" x14ac:dyDescent="0.15">
      <c r="A445" s="68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69"/>
    </row>
    <row r="446" spans="1:14" s="3" customFormat="1" ht="12" customHeight="1" thickBot="1" x14ac:dyDescent="0.2">
      <c r="A446" s="69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963618.36</v>
      </c>
      <c r="G446" s="13">
        <f>SUM(G439:G445)</f>
        <v>1149590.7</v>
      </c>
      <c r="H446" s="13">
        <f>SUM(H439:H445)</f>
        <v>6008028.2199999997</v>
      </c>
      <c r="I446" s="13">
        <f>SUM(I439:I445)</f>
        <v>8121237.2799999993</v>
      </c>
      <c r="J446" s="24" t="s">
        <v>288</v>
      </c>
      <c r="K446" s="24" t="s">
        <v>288</v>
      </c>
      <c r="L446" s="24" t="s">
        <v>288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69"/>
    </row>
    <row r="448" spans="1:14" s="3" customFormat="1" ht="12" customHeight="1" x14ac:dyDescent="0.15">
      <c r="A448" s="68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4466.3500000000004</v>
      </c>
      <c r="G448" s="18"/>
      <c r="H448" s="18">
        <v>131460.75</v>
      </c>
      <c r="I448" s="56">
        <f>SUM(F448:H448)</f>
        <v>135927.1</v>
      </c>
      <c r="J448" s="24" t="s">
        <v>288</v>
      </c>
      <c r="K448" s="24" t="s">
        <v>288</v>
      </c>
      <c r="L448" s="24" t="s">
        <v>288</v>
      </c>
      <c r="M448" s="8"/>
      <c r="N448" s="269"/>
    </row>
    <row r="449" spans="1:23" s="3" customFormat="1" ht="12" customHeight="1" x14ac:dyDescent="0.15">
      <c r="A449" s="68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69"/>
    </row>
    <row r="450" spans="1:23" s="3" customFormat="1" ht="12" customHeight="1" x14ac:dyDescent="0.15">
      <c r="A450" s="68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69"/>
    </row>
    <row r="451" spans="1:23" s="3" customFormat="1" ht="12" customHeight="1" x14ac:dyDescent="0.15">
      <c r="A451" s="68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69"/>
    </row>
    <row r="452" spans="1:23" s="3" customFormat="1" ht="12" customHeight="1" thickBot="1" x14ac:dyDescent="0.2">
      <c r="A452" s="73" t="s">
        <v>423</v>
      </c>
      <c r="B452" s="72">
        <v>18</v>
      </c>
      <c r="C452" s="70">
        <v>13</v>
      </c>
      <c r="D452" s="2" t="s">
        <v>432</v>
      </c>
      <c r="E452" s="70"/>
      <c r="F452" s="71">
        <f>SUM(F448:F451)</f>
        <v>4466.3500000000004</v>
      </c>
      <c r="G452" s="71">
        <f>SUM(G448:G451)</f>
        <v>0</v>
      </c>
      <c r="H452" s="71">
        <f>SUM(H448:H451)</f>
        <v>131460.75</v>
      </c>
      <c r="I452" s="71">
        <f>SUM(I448:I451)</f>
        <v>135927.1</v>
      </c>
      <c r="J452" s="24" t="s">
        <v>288</v>
      </c>
      <c r="K452" s="24" t="s">
        <v>288</v>
      </c>
      <c r="L452" s="24" t="s">
        <v>288</v>
      </c>
      <c r="M452" s="8"/>
      <c r="N452" s="269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69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>
        <v>2668.54</v>
      </c>
      <c r="H454" s="18"/>
      <c r="I454" s="56">
        <f t="shared" ref="I454:I459" si="34">SUM(F454:H454)</f>
        <v>2668.54</v>
      </c>
      <c r="J454" s="24" t="s">
        <v>288</v>
      </c>
      <c r="K454" s="24" t="s">
        <v>288</v>
      </c>
      <c r="L454" s="24" t="s">
        <v>288</v>
      </c>
      <c r="M454" s="8"/>
      <c r="N454" s="269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69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>
        <v>5497790.8600000003</v>
      </c>
      <c r="I457" s="56">
        <f t="shared" si="34"/>
        <v>5497790.8600000003</v>
      </c>
      <c r="J457" s="24" t="s">
        <v>288</v>
      </c>
      <c r="K457" s="24" t="s">
        <v>288</v>
      </c>
      <c r="L457" s="24" t="s">
        <v>288</v>
      </c>
      <c r="M457" s="67"/>
      <c r="N457" s="226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>
        <f>381569.45-2792.84</f>
        <v>378776.61</v>
      </c>
      <c r="I458" s="56">
        <f t="shared" si="34"/>
        <v>378776.61</v>
      </c>
      <c r="J458" s="24"/>
      <c r="K458" s="24"/>
      <c r="L458" s="24"/>
      <c r="M458" s="52"/>
      <c r="N458" s="216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2101038.23-1141886.22</f>
        <v>959152.01</v>
      </c>
      <c r="G459" s="18">
        <f>1166906.9-19984.74</f>
        <v>1146922.1599999999</v>
      </c>
      <c r="H459" s="18"/>
      <c r="I459" s="56">
        <f t="shared" si="34"/>
        <v>2106074.17</v>
      </c>
      <c r="J459" s="24" t="s">
        <v>288</v>
      </c>
      <c r="K459" s="24" t="s">
        <v>288</v>
      </c>
      <c r="L459" s="24" t="s">
        <v>288</v>
      </c>
      <c r="M459" s="52"/>
      <c r="N459" s="216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0">
        <v>18</v>
      </c>
      <c r="C460" s="51">
        <v>20</v>
      </c>
      <c r="D460" s="48" t="s">
        <v>432</v>
      </c>
      <c r="E460" s="51"/>
      <c r="F460" s="82">
        <f>SUM(F454:F459)</f>
        <v>959152.01</v>
      </c>
      <c r="G460" s="82">
        <f>SUM(G454:G459)</f>
        <v>1149590.7</v>
      </c>
      <c r="H460" s="82">
        <f>SUM(H454:H459)</f>
        <v>5876567.4700000007</v>
      </c>
      <c r="I460" s="82">
        <f>SUM(I454:I459)</f>
        <v>7985310.1800000006</v>
      </c>
      <c r="J460" s="24" t="s">
        <v>288</v>
      </c>
      <c r="K460" s="24" t="s">
        <v>288</v>
      </c>
      <c r="L460" s="24" t="s">
        <v>288</v>
      </c>
      <c r="N460" s="216"/>
    </row>
    <row r="461" spans="1:23" s="52" customFormat="1" ht="12" customHeight="1" thickTop="1" x14ac:dyDescent="0.2">
      <c r="A461" s="90" t="s">
        <v>424</v>
      </c>
      <c r="B461" s="44">
        <v>18</v>
      </c>
      <c r="C461" s="81">
        <v>21</v>
      </c>
      <c r="D461" s="156" t="s">
        <v>432</v>
      </c>
      <c r="E461" s="81"/>
      <c r="F461" s="42">
        <f>F452+F460</f>
        <v>963618.36</v>
      </c>
      <c r="G461" s="42">
        <f>G452+G460</f>
        <v>1149590.7</v>
      </c>
      <c r="H461" s="42">
        <f>H452+H460</f>
        <v>6008028.2200000007</v>
      </c>
      <c r="I461" s="42">
        <f>I452+I460</f>
        <v>8121237.2800000003</v>
      </c>
      <c r="J461" s="24" t="s">
        <v>288</v>
      </c>
      <c r="K461" s="24" t="s">
        <v>288</v>
      </c>
      <c r="L461" s="24" t="s">
        <v>288</v>
      </c>
      <c r="N461" s="216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16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16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16"/>
    </row>
    <row r="465" spans="1:14" s="52" customFormat="1" ht="12" customHeight="1" x14ac:dyDescent="0.2">
      <c r="A465" s="188" t="s">
        <v>903</v>
      </c>
      <c r="B465" s="104">
        <v>19</v>
      </c>
      <c r="C465" s="110">
        <v>1</v>
      </c>
      <c r="D465" s="2" t="s">
        <v>432</v>
      </c>
      <c r="E465" s="110"/>
      <c r="F465" s="18">
        <v>0</v>
      </c>
      <c r="G465" s="18">
        <v>504995.26000000071</v>
      </c>
      <c r="H465" s="18">
        <v>816174.44999999739</v>
      </c>
      <c r="I465" s="18">
        <v>2846696.8900000006</v>
      </c>
      <c r="J465" s="18">
        <v>8765611.6899999976</v>
      </c>
      <c r="K465" s="24" t="s">
        <v>288</v>
      </c>
      <c r="L465" s="24" t="s">
        <v>288</v>
      </c>
      <c r="N465" s="216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16"/>
    </row>
    <row r="467" spans="1:14" s="52" customFormat="1" ht="12" customHeight="1" x14ac:dyDescent="0.2">
      <c r="A467" s="93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16"/>
    </row>
    <row r="468" spans="1:14" s="52" customFormat="1" ht="12" customHeight="1" x14ac:dyDescent="0.2">
      <c r="A468" s="92" t="s">
        <v>613</v>
      </c>
      <c r="B468" s="74">
        <v>19</v>
      </c>
      <c r="C468" s="79">
        <v>2</v>
      </c>
      <c r="D468" s="2" t="s">
        <v>432</v>
      </c>
      <c r="E468" s="79"/>
      <c r="F468" s="18">
        <v>151505479</v>
      </c>
      <c r="G468" s="18">
        <v>4852814.08</v>
      </c>
      <c r="H468" s="18">
        <v>10095257.710000001</v>
      </c>
      <c r="I468" s="18">
        <v>1046699.15</v>
      </c>
      <c r="J468" s="18">
        <v>851575.37</v>
      </c>
      <c r="K468" s="24" t="s">
        <v>288</v>
      </c>
      <c r="L468" s="24" t="s">
        <v>288</v>
      </c>
      <c r="N468" s="216"/>
    </row>
    <row r="469" spans="1:14" s="52" customFormat="1" ht="12" customHeight="1" x14ac:dyDescent="0.2">
      <c r="A469" s="92" t="s">
        <v>614</v>
      </c>
      <c r="B469" s="74">
        <v>19</v>
      </c>
      <c r="C469" s="79">
        <v>3</v>
      </c>
      <c r="D469" s="2" t="s">
        <v>432</v>
      </c>
      <c r="E469" s="79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16"/>
    </row>
    <row r="470" spans="1:14" s="52" customFormat="1" ht="12" customHeight="1" x14ac:dyDescent="0.2">
      <c r="A470" s="91" t="s">
        <v>425</v>
      </c>
      <c r="B470" s="74">
        <v>19</v>
      </c>
      <c r="C470" s="79">
        <v>4</v>
      </c>
      <c r="D470" s="2" t="s">
        <v>432</v>
      </c>
      <c r="E470" s="79"/>
      <c r="F470" s="53">
        <f>SUM(F468:F469)</f>
        <v>151505479</v>
      </c>
      <c r="G470" s="53">
        <f>SUM(G468:G469)</f>
        <v>4852814.08</v>
      </c>
      <c r="H470" s="53">
        <f>SUM(H468:H469)</f>
        <v>10095257.710000001</v>
      </c>
      <c r="I470" s="53">
        <f>SUM(I468:I469)</f>
        <v>1046699.15</v>
      </c>
      <c r="J470" s="53">
        <f>SUM(J468:J469)</f>
        <v>851575.37</v>
      </c>
      <c r="K470" s="24" t="s">
        <v>288</v>
      </c>
      <c r="L470" s="24" t="s">
        <v>288</v>
      </c>
      <c r="N470" s="216"/>
    </row>
    <row r="471" spans="1:14" s="52" customFormat="1" ht="12" customHeight="1" x14ac:dyDescent="0.2">
      <c r="A471" s="93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16"/>
    </row>
    <row r="472" spans="1:14" s="52" customFormat="1" ht="12" customHeight="1" x14ac:dyDescent="0.2">
      <c r="A472" s="92" t="s">
        <v>615</v>
      </c>
      <c r="B472" s="74">
        <v>19</v>
      </c>
      <c r="C472" s="79">
        <v>5</v>
      </c>
      <c r="D472" s="2" t="s">
        <v>432</v>
      </c>
      <c r="E472" s="79"/>
      <c r="F472" s="18">
        <v>151505479</v>
      </c>
      <c r="G472" s="18">
        <v>4817746.0900000017</v>
      </c>
      <c r="H472" s="18">
        <v>9772907.0399999972</v>
      </c>
      <c r="I472" s="18">
        <v>3671610.23</v>
      </c>
      <c r="J472" s="18">
        <v>1631876.88</v>
      </c>
      <c r="K472" s="24" t="s">
        <v>288</v>
      </c>
      <c r="L472" s="24" t="s">
        <v>288</v>
      </c>
      <c r="N472" s="216"/>
    </row>
    <row r="473" spans="1:14" s="52" customFormat="1" ht="12" customHeight="1" x14ac:dyDescent="0.2">
      <c r="A473" s="92" t="s">
        <v>616</v>
      </c>
      <c r="B473" s="74">
        <v>19</v>
      </c>
      <c r="C473" s="79">
        <v>6</v>
      </c>
      <c r="D473" s="2" t="s">
        <v>432</v>
      </c>
      <c r="E473" s="79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16"/>
    </row>
    <row r="474" spans="1:14" s="52" customFormat="1" ht="12" customHeight="1" x14ac:dyDescent="0.2">
      <c r="A474" s="91" t="s">
        <v>426</v>
      </c>
      <c r="B474" s="74">
        <v>19</v>
      </c>
      <c r="C474" s="79">
        <v>7</v>
      </c>
      <c r="D474" s="2" t="s">
        <v>432</v>
      </c>
      <c r="E474" s="79"/>
      <c r="F474" s="53">
        <f>SUM(F472:F473)</f>
        <v>151505479</v>
      </c>
      <c r="G474" s="53">
        <f>SUM(G472:G473)</f>
        <v>4817746.0900000017</v>
      </c>
      <c r="H474" s="53">
        <f>SUM(H472:H473)</f>
        <v>9772907.0399999972</v>
      </c>
      <c r="I474" s="53">
        <f>SUM(I472:I473)</f>
        <v>3671610.23</v>
      </c>
      <c r="J474" s="53">
        <f>SUM(J472:J473)</f>
        <v>1631876.88</v>
      </c>
      <c r="K474" s="24" t="s">
        <v>288</v>
      </c>
      <c r="L474" s="24" t="s">
        <v>288</v>
      </c>
      <c r="N474" s="216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16"/>
    </row>
    <row r="476" spans="1:14" s="52" customFormat="1" ht="12" customHeight="1" x14ac:dyDescent="0.2">
      <c r="A476" s="189" t="s">
        <v>904</v>
      </c>
      <c r="B476" s="74">
        <v>19</v>
      </c>
      <c r="C476" s="114">
        <v>8</v>
      </c>
      <c r="D476" s="2" t="s">
        <v>432</v>
      </c>
      <c r="E476" s="114"/>
      <c r="F476" s="53">
        <f>(F465+F470)- F474</f>
        <v>0</v>
      </c>
      <c r="G476" s="53">
        <f>(G465+G470)- G474</f>
        <v>540063.24999999907</v>
      </c>
      <c r="H476" s="53">
        <f>(H465+H470)- H474</f>
        <v>1138525.120000001</v>
      </c>
      <c r="I476" s="53">
        <f>(I465+I470)- I474</f>
        <v>221785.81000000052</v>
      </c>
      <c r="J476" s="53">
        <f>(J465+J470)- J474</f>
        <v>7985310.1799999969</v>
      </c>
      <c r="K476" s="24" t="s">
        <v>288</v>
      </c>
      <c r="L476" s="24" t="s">
        <v>288</v>
      </c>
      <c r="N476" s="216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16"/>
    </row>
    <row r="478" spans="1:14" s="52" customFormat="1" ht="12" customHeight="1" x14ac:dyDescent="0.2">
      <c r="A478" s="94" t="s">
        <v>660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16"/>
    </row>
    <row r="479" spans="1:14" s="52" customFormat="1" ht="12" customHeight="1" x14ac:dyDescent="0.2">
      <c r="A479" s="94" t="s">
        <v>698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16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401</v>
      </c>
      <c r="J480" s="111"/>
      <c r="K480" s="94"/>
      <c r="L480" s="94"/>
      <c r="N480" s="216"/>
    </row>
    <row r="481" spans="1:14" s="52" customFormat="1" ht="12" customHeight="1" x14ac:dyDescent="0.2">
      <c r="A481" s="174"/>
      <c r="B481" s="111"/>
      <c r="C481" s="111"/>
      <c r="D481" s="111"/>
      <c r="E481" s="111"/>
      <c r="F481" s="111"/>
      <c r="G481" s="111"/>
      <c r="H481" s="111"/>
      <c r="I481" s="111" t="s">
        <v>653</v>
      </c>
      <c r="J481" s="111"/>
      <c r="K481" s="94"/>
      <c r="L481" s="94"/>
      <c r="N481" s="216"/>
    </row>
    <row r="482" spans="1:14" s="52" customFormat="1" ht="12" customHeight="1" x14ac:dyDescent="0.2">
      <c r="A482" s="94" t="s">
        <v>699</v>
      </c>
      <c r="B482" s="111"/>
      <c r="C482" s="111"/>
      <c r="D482" s="111"/>
      <c r="E482" s="111"/>
      <c r="F482" s="111"/>
      <c r="G482" s="111"/>
      <c r="H482" s="111"/>
      <c r="I482" s="111" t="s">
        <v>473</v>
      </c>
      <c r="J482" s="111"/>
      <c r="K482" s="94"/>
      <c r="L482" s="94"/>
      <c r="N482" s="216"/>
    </row>
    <row r="483" spans="1:14" s="52" customFormat="1" ht="12" customHeight="1" x14ac:dyDescent="0.2">
      <c r="A483" s="173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16"/>
    </row>
    <row r="484" spans="1:14" s="52" customFormat="1" ht="12" customHeight="1" x14ac:dyDescent="0.2">
      <c r="A484" s="173"/>
      <c r="B484" s="111"/>
      <c r="C484" s="111"/>
      <c r="D484" s="111"/>
      <c r="E484" s="111"/>
      <c r="F484" s="111"/>
      <c r="G484" s="111"/>
      <c r="H484" s="111"/>
      <c r="I484" s="111" t="s">
        <v>474</v>
      </c>
      <c r="J484" s="111"/>
      <c r="K484" s="94"/>
      <c r="L484" s="94"/>
      <c r="N484" s="216"/>
    </row>
    <row r="485" spans="1:14" s="52" customFormat="1" ht="12" customHeight="1" x14ac:dyDescent="0.2">
      <c r="A485" s="173"/>
      <c r="B485" s="111"/>
      <c r="C485" s="111"/>
      <c r="D485" s="111"/>
      <c r="E485" s="111"/>
      <c r="F485" s="111"/>
      <c r="G485" s="111"/>
      <c r="H485" s="111"/>
      <c r="I485" s="111" t="s">
        <v>475</v>
      </c>
      <c r="J485" s="111"/>
      <c r="K485" s="94"/>
      <c r="L485" s="94"/>
      <c r="N485" s="216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16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16"/>
    </row>
    <row r="488" spans="1:14" s="52" customFormat="1" ht="12" customHeight="1" x14ac:dyDescent="0.2">
      <c r="A488" s="146" t="s">
        <v>905</v>
      </c>
      <c r="B488" s="104"/>
      <c r="C488" s="114"/>
      <c r="D488" s="114"/>
      <c r="E488" s="114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5"/>
      <c r="N488" s="216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340</v>
      </c>
      <c r="L489" s="115"/>
      <c r="N489" s="216"/>
    </row>
    <row r="490" spans="1:14" s="52" customFormat="1" ht="12" customHeight="1" x14ac:dyDescent="0.2">
      <c r="A490" s="22" t="s">
        <v>617</v>
      </c>
      <c r="B490" s="74">
        <v>20</v>
      </c>
      <c r="C490" s="114">
        <v>1</v>
      </c>
      <c r="D490" s="2" t="s">
        <v>432</v>
      </c>
      <c r="E490" s="114"/>
      <c r="F490" s="153"/>
      <c r="G490" s="153"/>
      <c r="H490" s="153"/>
      <c r="I490" s="153"/>
      <c r="J490" s="153"/>
      <c r="K490" s="24" t="s">
        <v>288</v>
      </c>
      <c r="L490" s="24" t="s">
        <v>288</v>
      </c>
      <c r="N490" s="216"/>
    </row>
    <row r="491" spans="1:14" s="52" customFormat="1" ht="12" customHeight="1" x14ac:dyDescent="0.2">
      <c r="A491" s="22" t="s">
        <v>618</v>
      </c>
      <c r="B491" s="74">
        <v>20</v>
      </c>
      <c r="C491" s="114">
        <v>2</v>
      </c>
      <c r="D491" s="2" t="s">
        <v>432</v>
      </c>
      <c r="E491" s="114"/>
      <c r="F491" s="154"/>
      <c r="G491" s="154"/>
      <c r="H491" s="153"/>
      <c r="I491" s="153"/>
      <c r="J491" s="153"/>
      <c r="K491" s="24" t="s">
        <v>288</v>
      </c>
      <c r="L491" s="24" t="s">
        <v>288</v>
      </c>
      <c r="N491" s="216"/>
    </row>
    <row r="492" spans="1:14" s="52" customFormat="1" ht="12" customHeight="1" x14ac:dyDescent="0.2">
      <c r="A492" s="22" t="s">
        <v>619</v>
      </c>
      <c r="B492" s="74">
        <v>20</v>
      </c>
      <c r="C492" s="114">
        <v>3</v>
      </c>
      <c r="D492" s="2" t="s">
        <v>432</v>
      </c>
      <c r="E492" s="114"/>
      <c r="F492" s="154"/>
      <c r="G492" s="154"/>
      <c r="H492" s="153"/>
      <c r="I492" s="153"/>
      <c r="J492" s="153"/>
      <c r="K492" s="24" t="s">
        <v>288</v>
      </c>
      <c r="L492" s="24" t="s">
        <v>288</v>
      </c>
      <c r="N492" s="216"/>
    </row>
    <row r="493" spans="1:14" s="52" customFormat="1" ht="12" customHeight="1" x14ac:dyDescent="0.2">
      <c r="A493" s="22" t="s">
        <v>620</v>
      </c>
      <c r="B493" s="74">
        <v>20</v>
      </c>
      <c r="C493" s="114">
        <v>4</v>
      </c>
      <c r="D493" s="2" t="s">
        <v>432</v>
      </c>
      <c r="E493" s="114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16"/>
    </row>
    <row r="494" spans="1:14" s="52" customFormat="1" ht="12" customHeight="1" x14ac:dyDescent="0.2">
      <c r="A494" s="22" t="s">
        <v>621</v>
      </c>
      <c r="B494" s="74">
        <v>20</v>
      </c>
      <c r="C494" s="114">
        <v>5</v>
      </c>
      <c r="D494" s="2" t="s">
        <v>432</v>
      </c>
      <c r="E494" s="114"/>
      <c r="F494" s="18" t="s">
        <v>912</v>
      </c>
      <c r="G494" s="18"/>
      <c r="H494" s="18"/>
      <c r="I494" s="18"/>
      <c r="J494" s="18"/>
      <c r="K494" s="24" t="s">
        <v>288</v>
      </c>
      <c r="L494" s="24" t="s">
        <v>288</v>
      </c>
      <c r="N494" s="216"/>
    </row>
    <row r="495" spans="1:14" s="52" customFormat="1" ht="12" customHeight="1" x14ac:dyDescent="0.2">
      <c r="A495" s="22" t="s">
        <v>622</v>
      </c>
      <c r="B495" s="74">
        <v>20</v>
      </c>
      <c r="C495" s="114">
        <v>6</v>
      </c>
      <c r="D495" s="2" t="s">
        <v>432</v>
      </c>
      <c r="E495" s="114"/>
      <c r="F495" s="18">
        <v>71652240</v>
      </c>
      <c r="G495" s="18"/>
      <c r="H495" s="18"/>
      <c r="I495" s="18"/>
      <c r="J495" s="18"/>
      <c r="K495" s="53">
        <f>SUM(F495:J495)</f>
        <v>71652240</v>
      </c>
      <c r="L495" s="24" t="s">
        <v>288</v>
      </c>
      <c r="N495" s="216"/>
    </row>
    <row r="496" spans="1:14" s="52" customFormat="1" ht="12" customHeight="1" x14ac:dyDescent="0.2">
      <c r="A496" s="22" t="s">
        <v>623</v>
      </c>
      <c r="B496" s="74">
        <v>20</v>
      </c>
      <c r="C496" s="114">
        <v>7</v>
      </c>
      <c r="D496" s="2" t="s">
        <v>432</v>
      </c>
      <c r="E496" s="114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16"/>
    </row>
    <row r="497" spans="1:14" s="52" customFormat="1" ht="12" customHeight="1" x14ac:dyDescent="0.2">
      <c r="A497" s="22" t="s">
        <v>624</v>
      </c>
      <c r="B497" s="74">
        <v>20</v>
      </c>
      <c r="C497" s="114">
        <v>8</v>
      </c>
      <c r="D497" s="2" t="s">
        <v>432</v>
      </c>
      <c r="E497" s="114"/>
      <c r="F497" s="18">
        <v>8329240</v>
      </c>
      <c r="G497" s="18"/>
      <c r="H497" s="18"/>
      <c r="I497" s="18"/>
      <c r="J497" s="18"/>
      <c r="K497" s="53">
        <f t="shared" si="35"/>
        <v>8329240</v>
      </c>
      <c r="L497" s="24" t="s">
        <v>288</v>
      </c>
      <c r="N497" s="216"/>
    </row>
    <row r="498" spans="1:14" s="52" customFormat="1" ht="12" customHeight="1" x14ac:dyDescent="0.2">
      <c r="A498" s="199" t="s">
        <v>625</v>
      </c>
      <c r="B498" s="200">
        <v>20</v>
      </c>
      <c r="C498" s="201">
        <v>9</v>
      </c>
      <c r="D498" s="202" t="s">
        <v>432</v>
      </c>
      <c r="E498" s="201"/>
      <c r="F498" s="203">
        <f>F495+F496-F497</f>
        <v>63323000</v>
      </c>
      <c r="G498" s="203"/>
      <c r="H498" s="203"/>
      <c r="I498" s="203"/>
      <c r="J498" s="203"/>
      <c r="K498" s="204">
        <f t="shared" si="35"/>
        <v>63323000</v>
      </c>
      <c r="L498" s="205" t="s">
        <v>288</v>
      </c>
      <c r="N498" s="216"/>
    </row>
    <row r="499" spans="1:14" s="52" customFormat="1" ht="12" customHeight="1" thickBot="1" x14ac:dyDescent="0.25">
      <c r="A499" s="22" t="s">
        <v>626</v>
      </c>
      <c r="B499" s="74">
        <v>20</v>
      </c>
      <c r="C499" s="114">
        <v>10</v>
      </c>
      <c r="D499" s="2" t="s">
        <v>432</v>
      </c>
      <c r="E499" s="114"/>
      <c r="F499" s="18">
        <v>13883247</v>
      </c>
      <c r="G499" s="18"/>
      <c r="H499" s="18"/>
      <c r="I499" s="18"/>
      <c r="J499" s="18"/>
      <c r="K499" s="53">
        <f t="shared" si="35"/>
        <v>13883247</v>
      </c>
      <c r="L499" s="24" t="s">
        <v>288</v>
      </c>
      <c r="N499" s="216"/>
    </row>
    <row r="500" spans="1:14" s="52" customFormat="1" ht="12" customHeight="1" thickTop="1" x14ac:dyDescent="0.2">
      <c r="A500" s="138" t="s">
        <v>627</v>
      </c>
      <c r="B500" s="44">
        <v>20</v>
      </c>
      <c r="C500" s="194">
        <v>11</v>
      </c>
      <c r="D500" s="39" t="s">
        <v>432</v>
      </c>
      <c r="E500" s="194"/>
      <c r="F500" s="42">
        <f>SUM(F498:F499)</f>
        <v>77206247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77206247</v>
      </c>
      <c r="L500" s="45" t="s">
        <v>288</v>
      </c>
      <c r="N500" s="216"/>
    </row>
    <row r="501" spans="1:14" s="52" customFormat="1" ht="12" customHeight="1" x14ac:dyDescent="0.2">
      <c r="A501" s="199" t="s">
        <v>654</v>
      </c>
      <c r="B501" s="200">
        <v>20</v>
      </c>
      <c r="C501" s="201">
        <v>12</v>
      </c>
      <c r="D501" s="202" t="s">
        <v>432</v>
      </c>
      <c r="E501" s="201"/>
      <c r="F501" s="203">
        <v>8112500</v>
      </c>
      <c r="G501" s="203"/>
      <c r="H501" s="203"/>
      <c r="I501" s="203"/>
      <c r="J501" s="203"/>
      <c r="K501" s="204">
        <f t="shared" si="35"/>
        <v>8112500</v>
      </c>
      <c r="L501" s="205" t="s">
        <v>288</v>
      </c>
      <c r="N501" s="216"/>
    </row>
    <row r="502" spans="1:14" s="52" customFormat="1" ht="12" customHeight="1" thickBot="1" x14ac:dyDescent="0.25">
      <c r="A502" s="22" t="s">
        <v>628</v>
      </c>
      <c r="B502" s="74">
        <v>20</v>
      </c>
      <c r="C502" s="114">
        <v>13</v>
      </c>
      <c r="D502" s="2" t="s">
        <v>432</v>
      </c>
      <c r="E502" s="114"/>
      <c r="F502" s="18">
        <v>2466772</v>
      </c>
      <c r="G502" s="18"/>
      <c r="H502" s="18"/>
      <c r="I502" s="18"/>
      <c r="J502" s="18"/>
      <c r="K502" s="53">
        <f t="shared" si="35"/>
        <v>2466772</v>
      </c>
      <c r="L502" s="24" t="s">
        <v>288</v>
      </c>
      <c r="N502" s="216"/>
    </row>
    <row r="503" spans="1:14" s="52" customFormat="1" ht="12" customHeight="1" thickTop="1" x14ac:dyDescent="0.2">
      <c r="A503" s="138" t="s">
        <v>629</v>
      </c>
      <c r="B503" s="44">
        <v>20</v>
      </c>
      <c r="C503" s="194">
        <v>14</v>
      </c>
      <c r="D503" s="39" t="s">
        <v>432</v>
      </c>
      <c r="E503" s="194"/>
      <c r="F503" s="42">
        <f>SUM(F501:F502)</f>
        <v>10579272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10579272</v>
      </c>
      <c r="L503" s="45" t="s">
        <v>288</v>
      </c>
      <c r="N503" s="216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16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16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288</v>
      </c>
      <c r="K506" s="24" t="s">
        <v>288</v>
      </c>
      <c r="L506" s="24" t="s">
        <v>288</v>
      </c>
      <c r="N506" s="216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432</v>
      </c>
      <c r="E507" s="114"/>
      <c r="F507" s="143">
        <v>11285664.220000001</v>
      </c>
      <c r="G507" s="143">
        <f>11353389-11285664.22</f>
        <v>67724.779999999329</v>
      </c>
      <c r="H507" s="143"/>
      <c r="I507" s="143">
        <f>F507+G507-H507</f>
        <v>11353389</v>
      </c>
      <c r="J507" s="24" t="s">
        <v>288</v>
      </c>
      <c r="K507" s="24" t="s">
        <v>288</v>
      </c>
      <c r="L507" s="24" t="s">
        <v>288</v>
      </c>
      <c r="N507" s="216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6"/>
    </row>
    <row r="509" spans="1:14" s="52" customFormat="1" ht="12" customHeight="1" x14ac:dyDescent="0.2">
      <c r="A509" s="146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16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16"/>
    </row>
    <row r="511" spans="1:14" s="52" customFormat="1" ht="12" customHeight="1" x14ac:dyDescent="0.2">
      <c r="A511" s="22" t="s">
        <v>630</v>
      </c>
      <c r="B511" s="74">
        <v>20</v>
      </c>
      <c r="C511" s="114">
        <v>16</v>
      </c>
      <c r="D511" s="2" t="s">
        <v>432</v>
      </c>
      <c r="E511" s="114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16"/>
    </row>
    <row r="512" spans="1:14" s="52" customFormat="1" ht="12" customHeight="1" x14ac:dyDescent="0.2">
      <c r="A512" s="22" t="s">
        <v>631</v>
      </c>
      <c r="B512" s="74">
        <v>20</v>
      </c>
      <c r="C512" s="114">
        <v>17</v>
      </c>
      <c r="D512" s="2" t="s">
        <v>432</v>
      </c>
      <c r="E512" s="114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16"/>
    </row>
    <row r="513" spans="1:14" s="52" customFormat="1" ht="12" customHeight="1" x14ac:dyDescent="0.2">
      <c r="A513" s="22" t="s">
        <v>632</v>
      </c>
      <c r="B513" s="74">
        <v>20</v>
      </c>
      <c r="C513" s="114">
        <v>18</v>
      </c>
      <c r="D513" s="2" t="s">
        <v>432</v>
      </c>
      <c r="E513" s="114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16"/>
    </row>
    <row r="514" spans="1:14" s="52" customFormat="1" ht="12" customHeight="1" x14ac:dyDescent="0.2">
      <c r="A514" s="22" t="s">
        <v>633</v>
      </c>
      <c r="B514" s="74">
        <v>20</v>
      </c>
      <c r="C514" s="114">
        <v>19</v>
      </c>
      <c r="D514" s="2" t="s">
        <v>432</v>
      </c>
      <c r="E514" s="114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16"/>
    </row>
    <row r="515" spans="1:14" s="52" customFormat="1" ht="12" customHeight="1" x14ac:dyDescent="0.2">
      <c r="A515" s="22" t="s">
        <v>634</v>
      </c>
      <c r="B515" s="74">
        <v>20</v>
      </c>
      <c r="C515" s="114">
        <v>20</v>
      </c>
      <c r="D515" s="2" t="s">
        <v>432</v>
      </c>
      <c r="E515" s="114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16"/>
    </row>
    <row r="516" spans="1:14" s="52" customFormat="1" ht="12" customHeight="1" thickBot="1" x14ac:dyDescent="0.25">
      <c r="A516" s="22" t="s">
        <v>635</v>
      </c>
      <c r="B516" s="74">
        <v>20</v>
      </c>
      <c r="C516" s="114">
        <v>21</v>
      </c>
      <c r="D516" s="2" t="s">
        <v>432</v>
      </c>
      <c r="E516" s="114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16"/>
    </row>
    <row r="517" spans="1:14" s="52" customFormat="1" ht="12" customHeight="1" thickTop="1" x14ac:dyDescent="0.2">
      <c r="A517" s="95" t="s">
        <v>427</v>
      </c>
      <c r="B517" s="74">
        <v>20</v>
      </c>
      <c r="C517" s="114">
        <v>22</v>
      </c>
      <c r="D517" s="2" t="s">
        <v>432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16"/>
    </row>
    <row r="518" spans="1:14" s="52" customFormat="1" ht="12" customHeight="1" x14ac:dyDescent="0.2">
      <c r="A518" s="95" t="s">
        <v>701</v>
      </c>
      <c r="B518" s="104"/>
      <c r="C518" s="114"/>
      <c r="D518" s="114"/>
      <c r="E518" s="114"/>
      <c r="F518" s="176" t="s">
        <v>692</v>
      </c>
      <c r="G518" s="176" t="s">
        <v>693</v>
      </c>
      <c r="H518" s="176" t="s">
        <v>694</v>
      </c>
      <c r="I518" s="176" t="s">
        <v>695</v>
      </c>
      <c r="J518" s="176" t="s">
        <v>696</v>
      </c>
      <c r="K518" s="176" t="s">
        <v>697</v>
      </c>
      <c r="L518" s="105"/>
      <c r="N518" s="216"/>
    </row>
    <row r="519" spans="1:14" s="52" customFormat="1" ht="12" customHeight="1" x14ac:dyDescent="0.2">
      <c r="A519" s="177" t="s">
        <v>700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16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16"/>
    </row>
    <row r="521" spans="1:14" s="52" customFormat="1" ht="12" customHeight="1" x14ac:dyDescent="0.2">
      <c r="A521" s="22" t="s">
        <v>636</v>
      </c>
      <c r="B521" s="104">
        <v>21</v>
      </c>
      <c r="C521" s="114">
        <v>1</v>
      </c>
      <c r="D521" s="2" t="s">
        <v>432</v>
      </c>
      <c r="E521" s="114"/>
      <c r="F521" s="18">
        <v>8212057.1900000004</v>
      </c>
      <c r="G521" s="18">
        <v>2900170.5599999996</v>
      </c>
      <c r="H521" s="18">
        <v>467785.43</v>
      </c>
      <c r="I521" s="18">
        <v>44955.06</v>
      </c>
      <c r="J521" s="18">
        <v>14498</v>
      </c>
      <c r="K521" s="18">
        <v>0</v>
      </c>
      <c r="L521" s="87">
        <f>SUM(F521:K521)</f>
        <v>11639466.24</v>
      </c>
      <c r="N521" s="216"/>
    </row>
    <row r="522" spans="1:14" s="52" customFormat="1" ht="12" customHeight="1" x14ac:dyDescent="0.2">
      <c r="A522" s="22" t="s">
        <v>637</v>
      </c>
      <c r="B522" s="104">
        <v>21</v>
      </c>
      <c r="C522" s="114">
        <v>2</v>
      </c>
      <c r="D522" s="2" t="s">
        <v>432</v>
      </c>
      <c r="E522" s="114"/>
      <c r="F522" s="18">
        <v>3046187.7299999995</v>
      </c>
      <c r="G522" s="18">
        <v>1130294.2999999998</v>
      </c>
      <c r="H522" s="18">
        <v>1337233.5799999998</v>
      </c>
      <c r="I522" s="18">
        <v>19822.63</v>
      </c>
      <c r="J522" s="18">
        <v>7358.55</v>
      </c>
      <c r="K522" s="18">
        <v>0</v>
      </c>
      <c r="L522" s="87">
        <f>SUM(F522:K522)</f>
        <v>5540896.7899999991</v>
      </c>
      <c r="N522" s="216"/>
    </row>
    <row r="523" spans="1:14" s="52" customFormat="1" ht="12" customHeight="1" thickBot="1" x14ac:dyDescent="0.25">
      <c r="A523" s="22" t="s">
        <v>638</v>
      </c>
      <c r="B523" s="104">
        <v>21</v>
      </c>
      <c r="C523" s="114">
        <v>3</v>
      </c>
      <c r="D523" s="2" t="s">
        <v>432</v>
      </c>
      <c r="E523" s="114"/>
      <c r="F523" s="18">
        <v>3078273.46</v>
      </c>
      <c r="G523" s="18">
        <v>1218323.21</v>
      </c>
      <c r="H523" s="18">
        <v>3822169.5599999982</v>
      </c>
      <c r="I523" s="18">
        <v>18828.919999999998</v>
      </c>
      <c r="J523" s="18">
        <v>9560</v>
      </c>
      <c r="K523" s="18">
        <v>0</v>
      </c>
      <c r="L523" s="87">
        <f>SUM(F523:K523)</f>
        <v>8147155.1499999985</v>
      </c>
      <c r="N523" s="216"/>
    </row>
    <row r="524" spans="1:14" s="52" customFormat="1" ht="12" customHeight="1" thickTop="1" x14ac:dyDescent="0.2">
      <c r="A524" s="138" t="s">
        <v>63</v>
      </c>
      <c r="B524" s="106">
        <v>21</v>
      </c>
      <c r="C524" s="194">
        <v>4</v>
      </c>
      <c r="D524" s="195" t="s">
        <v>432</v>
      </c>
      <c r="E524" s="194"/>
      <c r="F524" s="107">
        <f>SUM(F521:F523)</f>
        <v>14336518.379999999</v>
      </c>
      <c r="G524" s="107">
        <f t="shared" ref="G524:L524" si="36">SUM(G521:G523)</f>
        <v>5248788.0699999994</v>
      </c>
      <c r="H524" s="107">
        <f t="shared" si="36"/>
        <v>5627188.5699999984</v>
      </c>
      <c r="I524" s="107">
        <f t="shared" si="36"/>
        <v>83606.61</v>
      </c>
      <c r="J524" s="107">
        <f t="shared" si="36"/>
        <v>31416.55</v>
      </c>
      <c r="K524" s="107">
        <f t="shared" si="36"/>
        <v>0</v>
      </c>
      <c r="L524" s="88">
        <f t="shared" si="36"/>
        <v>25327518.18</v>
      </c>
      <c r="N524" s="216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16"/>
    </row>
    <row r="526" spans="1:14" s="3" customFormat="1" ht="12" customHeight="1" x14ac:dyDescent="0.15">
      <c r="A526" s="22" t="s">
        <v>636</v>
      </c>
      <c r="B526" s="104">
        <v>21</v>
      </c>
      <c r="C526" s="114">
        <v>5</v>
      </c>
      <c r="D526" s="2" t="s">
        <v>432</v>
      </c>
      <c r="E526" s="114"/>
      <c r="F526" s="18">
        <v>1820877.6400000001</v>
      </c>
      <c r="G526" s="18">
        <v>706669.56</v>
      </c>
      <c r="H526" s="18">
        <v>825785</v>
      </c>
      <c r="I526" s="18">
        <v>11627.31</v>
      </c>
      <c r="J526" s="18">
        <v>5492</v>
      </c>
      <c r="K526" s="18">
        <v>0</v>
      </c>
      <c r="L526" s="87">
        <f>SUM(F526:K526)</f>
        <v>3370451.5100000002</v>
      </c>
      <c r="M526" s="8"/>
      <c r="N526" s="269"/>
    </row>
    <row r="527" spans="1:14" s="3" customFormat="1" ht="12" customHeight="1" x14ac:dyDescent="0.15">
      <c r="A527" s="22" t="s">
        <v>637</v>
      </c>
      <c r="B527" s="104">
        <v>21</v>
      </c>
      <c r="C527" s="114">
        <v>6</v>
      </c>
      <c r="D527" s="2" t="s">
        <v>432</v>
      </c>
      <c r="E527" s="114"/>
      <c r="F527" s="18">
        <v>812837</v>
      </c>
      <c r="G527" s="18">
        <v>316546</v>
      </c>
      <c r="H527" s="18">
        <v>394189</v>
      </c>
      <c r="I527" s="18">
        <v>4902</v>
      </c>
      <c r="J527" s="18">
        <v>2622</v>
      </c>
      <c r="K527" s="18">
        <v>0</v>
      </c>
      <c r="L527" s="87">
        <f>SUM(F527:K527)</f>
        <v>1531096</v>
      </c>
      <c r="M527" s="8"/>
      <c r="N527" s="269"/>
    </row>
    <row r="528" spans="1:14" s="3" customFormat="1" ht="12" customHeight="1" thickBot="1" x14ac:dyDescent="0.2">
      <c r="A528" s="22" t="s">
        <v>638</v>
      </c>
      <c r="B528" s="117">
        <v>21</v>
      </c>
      <c r="C528" s="117">
        <v>7</v>
      </c>
      <c r="D528" s="2" t="s">
        <v>432</v>
      </c>
      <c r="E528" s="117"/>
      <c r="F528" s="18">
        <v>1122835.0899999999</v>
      </c>
      <c r="G528" s="18">
        <v>437269.31</v>
      </c>
      <c r="H528" s="18">
        <v>544525.42999999993</v>
      </c>
      <c r="I528" s="18">
        <v>6771</v>
      </c>
      <c r="J528" s="18">
        <v>3621</v>
      </c>
      <c r="K528" s="18">
        <v>0</v>
      </c>
      <c r="L528" s="87">
        <f>SUM(F528:K528)</f>
        <v>2115021.83</v>
      </c>
      <c r="M528" s="8"/>
      <c r="N528" s="269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7" t="s">
        <v>432</v>
      </c>
      <c r="E529" s="106"/>
      <c r="F529" s="88">
        <f>SUM(F526:F528)</f>
        <v>3756549.73</v>
      </c>
      <c r="G529" s="88">
        <f t="shared" ref="G529:L529" si="37">SUM(G526:G528)</f>
        <v>1460484.87</v>
      </c>
      <c r="H529" s="88">
        <f t="shared" si="37"/>
        <v>1764499.43</v>
      </c>
      <c r="I529" s="88">
        <f t="shared" si="37"/>
        <v>23300.309999999998</v>
      </c>
      <c r="J529" s="88">
        <f t="shared" si="37"/>
        <v>11735</v>
      </c>
      <c r="K529" s="88">
        <f t="shared" si="37"/>
        <v>0</v>
      </c>
      <c r="L529" s="88">
        <f t="shared" si="37"/>
        <v>7016569.3399999999</v>
      </c>
      <c r="M529" s="8"/>
      <c r="N529" s="269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69"/>
    </row>
    <row r="531" spans="1:14" s="3" customFormat="1" ht="12" customHeight="1" x14ac:dyDescent="0.15">
      <c r="A531" s="22" t="s">
        <v>636</v>
      </c>
      <c r="B531" s="104">
        <v>21</v>
      </c>
      <c r="C531" s="104">
        <v>9</v>
      </c>
      <c r="D531" s="2" t="s">
        <v>432</v>
      </c>
      <c r="E531" s="104"/>
      <c r="F531" s="18">
        <v>108138</v>
      </c>
      <c r="G531" s="18">
        <v>44170</v>
      </c>
      <c r="H531" s="18">
        <v>14920</v>
      </c>
      <c r="I531" s="18">
        <v>146</v>
      </c>
      <c r="J531" s="18">
        <v>0</v>
      </c>
      <c r="K531" s="18">
        <v>0</v>
      </c>
      <c r="L531" s="87">
        <f>SUM(F531:K531)</f>
        <v>167374</v>
      </c>
      <c r="M531" s="8"/>
      <c r="N531" s="269"/>
    </row>
    <row r="532" spans="1:14" s="3" customFormat="1" ht="12" customHeight="1" x14ac:dyDescent="0.15">
      <c r="A532" s="22" t="s">
        <v>637</v>
      </c>
      <c r="B532" s="104">
        <v>21</v>
      </c>
      <c r="C532" s="104">
        <v>10</v>
      </c>
      <c r="D532" s="2" t="s">
        <v>432</v>
      </c>
      <c r="E532" s="104"/>
      <c r="F532" s="18">
        <v>51620</v>
      </c>
      <c r="G532" s="18">
        <v>21085</v>
      </c>
      <c r="H532" s="18">
        <v>7122</v>
      </c>
      <c r="I532" s="18">
        <v>70</v>
      </c>
      <c r="J532" s="18">
        <v>0</v>
      </c>
      <c r="K532" s="18">
        <v>0</v>
      </c>
      <c r="L532" s="87">
        <f>SUM(F532:K532)</f>
        <v>79897</v>
      </c>
      <c r="M532" s="8"/>
      <c r="N532" s="269"/>
    </row>
    <row r="533" spans="1:14" s="3" customFormat="1" ht="12" customHeight="1" thickBot="1" x14ac:dyDescent="0.2">
      <c r="A533" s="22" t="s">
        <v>638</v>
      </c>
      <c r="B533" s="104">
        <v>21</v>
      </c>
      <c r="C533" s="104">
        <v>11</v>
      </c>
      <c r="D533" s="2" t="s">
        <v>432</v>
      </c>
      <c r="E533" s="104"/>
      <c r="F533" s="18">
        <v>71306</v>
      </c>
      <c r="G533" s="18">
        <v>29126</v>
      </c>
      <c r="H533" s="18">
        <v>9838</v>
      </c>
      <c r="I533" s="18">
        <v>97</v>
      </c>
      <c r="J533" s="18">
        <v>0</v>
      </c>
      <c r="K533" s="18">
        <v>0</v>
      </c>
      <c r="L533" s="87">
        <f>SUM(F533:K533)</f>
        <v>110367</v>
      </c>
      <c r="M533" s="8"/>
      <c r="N533" s="269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7" t="s">
        <v>432</v>
      </c>
      <c r="E534" s="106"/>
      <c r="F534" s="88">
        <f>SUM(F531:F533)</f>
        <v>231064</v>
      </c>
      <c r="G534" s="88">
        <f t="shared" ref="G534:L534" si="38">SUM(G531:G533)</f>
        <v>94381</v>
      </c>
      <c r="H534" s="88">
        <f t="shared" si="38"/>
        <v>31880</v>
      </c>
      <c r="I534" s="88">
        <f t="shared" si="38"/>
        <v>313</v>
      </c>
      <c r="J534" s="88">
        <f t="shared" si="38"/>
        <v>0</v>
      </c>
      <c r="K534" s="88">
        <f t="shared" si="38"/>
        <v>0</v>
      </c>
      <c r="L534" s="88">
        <f t="shared" si="38"/>
        <v>357638</v>
      </c>
      <c r="M534" s="8"/>
      <c r="N534" s="269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3" t="s">
        <v>288</v>
      </c>
      <c r="G535" s="193" t="s">
        <v>288</v>
      </c>
      <c r="H535" s="193" t="s">
        <v>288</v>
      </c>
      <c r="I535" s="193" t="s">
        <v>288</v>
      </c>
      <c r="J535" s="193" t="s">
        <v>288</v>
      </c>
      <c r="K535" s="193" t="s">
        <v>288</v>
      </c>
      <c r="L535" s="193" t="s">
        <v>288</v>
      </c>
      <c r="M535" s="8"/>
      <c r="N535" s="269"/>
    </row>
    <row r="536" spans="1:14" s="3" customFormat="1" ht="12" customHeight="1" x14ac:dyDescent="0.15">
      <c r="A536" s="22" t="s">
        <v>636</v>
      </c>
      <c r="B536" s="104">
        <v>21</v>
      </c>
      <c r="C536" s="104">
        <v>13</v>
      </c>
      <c r="D536" s="2" t="s">
        <v>432</v>
      </c>
      <c r="E536" s="104"/>
      <c r="F536" s="18"/>
      <c r="G536" s="18"/>
      <c r="H536" s="18"/>
      <c r="I536" s="18"/>
      <c r="J536" s="18"/>
      <c r="K536" s="18"/>
      <c r="L536" s="87">
        <f>SUM(F536:K536)</f>
        <v>0</v>
      </c>
      <c r="M536" s="8"/>
      <c r="N536" s="269"/>
    </row>
    <row r="537" spans="1:14" s="3" customFormat="1" ht="12" customHeight="1" x14ac:dyDescent="0.15">
      <c r="A537" s="22" t="s">
        <v>637</v>
      </c>
      <c r="B537" s="104">
        <v>21</v>
      </c>
      <c r="C537" s="104">
        <v>14</v>
      </c>
      <c r="D537" s="2" t="s">
        <v>432</v>
      </c>
      <c r="E537" s="104"/>
      <c r="F537" s="18"/>
      <c r="G537" s="18"/>
      <c r="H537" s="18"/>
      <c r="I537" s="18"/>
      <c r="J537" s="18"/>
      <c r="K537" s="18"/>
      <c r="L537" s="87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638</v>
      </c>
      <c r="B538" s="104">
        <v>21</v>
      </c>
      <c r="C538" s="104">
        <v>15</v>
      </c>
      <c r="D538" s="2" t="s">
        <v>432</v>
      </c>
      <c r="E538" s="104"/>
      <c r="F538" s="18"/>
      <c r="G538" s="18"/>
      <c r="H538" s="18"/>
      <c r="I538" s="18"/>
      <c r="J538" s="18"/>
      <c r="K538" s="18"/>
      <c r="L538" s="87">
        <f>SUM(F538:K538)</f>
        <v>0</v>
      </c>
      <c r="M538" s="8"/>
      <c r="N538" s="269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7" t="s">
        <v>432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9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69"/>
    </row>
    <row r="541" spans="1:14" s="3" customFormat="1" ht="12" customHeight="1" x14ac:dyDescent="0.15">
      <c r="A541" s="22" t="s">
        <v>636</v>
      </c>
      <c r="B541" s="104">
        <v>21</v>
      </c>
      <c r="C541" s="104">
        <v>17</v>
      </c>
      <c r="D541" s="2" t="s">
        <v>432</v>
      </c>
      <c r="E541" s="104"/>
      <c r="F541" s="18"/>
      <c r="G541" s="18"/>
      <c r="H541" s="18">
        <v>1516722.84</v>
      </c>
      <c r="I541" s="18"/>
      <c r="J541" s="18"/>
      <c r="K541" s="18"/>
      <c r="L541" s="87">
        <f>SUM(F541:K541)</f>
        <v>1516722.84</v>
      </c>
      <c r="M541" s="8"/>
      <c r="N541" s="269"/>
    </row>
    <row r="542" spans="1:14" s="3" customFormat="1" ht="12" customHeight="1" x14ac:dyDescent="0.15">
      <c r="A542" s="22" t="s">
        <v>637</v>
      </c>
      <c r="B542" s="104">
        <v>21</v>
      </c>
      <c r="C542" s="104">
        <v>18</v>
      </c>
      <c r="D542" s="2" t="s">
        <v>432</v>
      </c>
      <c r="E542" s="104"/>
      <c r="F542" s="18"/>
      <c r="G542" s="18"/>
      <c r="H542" s="18">
        <v>948528.91999999993</v>
      </c>
      <c r="I542" s="18"/>
      <c r="J542" s="18"/>
      <c r="K542" s="18"/>
      <c r="L542" s="87">
        <f>SUM(F542:K542)</f>
        <v>948528.91999999993</v>
      </c>
      <c r="M542" s="8"/>
      <c r="N542" s="269"/>
    </row>
    <row r="543" spans="1:14" s="3" customFormat="1" ht="12" customHeight="1" thickBot="1" x14ac:dyDescent="0.2">
      <c r="A543" s="22" t="s">
        <v>638</v>
      </c>
      <c r="B543" s="104">
        <v>21</v>
      </c>
      <c r="C543" s="104">
        <v>19</v>
      </c>
      <c r="D543" s="2" t="s">
        <v>432</v>
      </c>
      <c r="E543" s="104"/>
      <c r="F543" s="18"/>
      <c r="G543" s="18"/>
      <c r="H543" s="18">
        <v>1260116.55</v>
      </c>
      <c r="I543" s="18"/>
      <c r="J543" s="18"/>
      <c r="K543" s="18"/>
      <c r="L543" s="87">
        <f>SUM(F543:K543)</f>
        <v>1260116.55</v>
      </c>
      <c r="M543" s="8"/>
      <c r="N543" s="269"/>
    </row>
    <row r="544" spans="1:14" s="3" customFormat="1" ht="12" customHeight="1" thickTop="1" thickBot="1" x14ac:dyDescent="0.2">
      <c r="A544" s="129" t="s">
        <v>71</v>
      </c>
      <c r="B544" s="190">
        <v>21</v>
      </c>
      <c r="C544" s="190">
        <v>20</v>
      </c>
      <c r="D544" s="191" t="s">
        <v>432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3725368.3099999996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3725368.3099999996</v>
      </c>
      <c r="M544" s="8"/>
      <c r="N544" s="269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7" t="s">
        <v>432</v>
      </c>
      <c r="E545" s="106"/>
      <c r="F545" s="88">
        <f>F524+F529+F534+F539+F544</f>
        <v>18324132.109999999</v>
      </c>
      <c r="G545" s="88">
        <f t="shared" ref="G545:L545" si="41">G524+G529+G534+G539+G544</f>
        <v>6803653.9399999995</v>
      </c>
      <c r="H545" s="88">
        <f t="shared" si="41"/>
        <v>11148936.309999999</v>
      </c>
      <c r="I545" s="88">
        <f t="shared" si="41"/>
        <v>107219.92</v>
      </c>
      <c r="J545" s="88">
        <f t="shared" si="41"/>
        <v>43151.55</v>
      </c>
      <c r="K545" s="88">
        <f t="shared" si="41"/>
        <v>0</v>
      </c>
      <c r="L545" s="88">
        <f t="shared" si="41"/>
        <v>36427093.829999998</v>
      </c>
      <c r="M545" s="8"/>
      <c r="N545" s="269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9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288</v>
      </c>
      <c r="M547" s="8"/>
      <c r="N547" s="269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288</v>
      </c>
      <c r="M548" s="8"/>
      <c r="N548" s="269"/>
    </row>
    <row r="549" spans="1:14" s="3" customFormat="1" ht="12" customHeight="1" x14ac:dyDescent="0.15">
      <c r="A549" s="22" t="s">
        <v>636</v>
      </c>
      <c r="B549" s="74">
        <v>21</v>
      </c>
      <c r="C549" s="74">
        <v>22</v>
      </c>
      <c r="D549" s="2" t="s">
        <v>432</v>
      </c>
      <c r="E549" s="74"/>
      <c r="F549" s="86">
        <f>L521</f>
        <v>11639466.24</v>
      </c>
      <c r="G549" s="86">
        <f>L526</f>
        <v>3370451.5100000002</v>
      </c>
      <c r="H549" s="86">
        <f>L531</f>
        <v>167374</v>
      </c>
      <c r="I549" s="86">
        <f>L536</f>
        <v>0</v>
      </c>
      <c r="J549" s="86">
        <f>L541</f>
        <v>1516722.84</v>
      </c>
      <c r="K549" s="86">
        <f>SUM(F549:J549)</f>
        <v>16694014.59</v>
      </c>
      <c r="L549" s="24" t="s">
        <v>288</v>
      </c>
      <c r="M549" s="8"/>
      <c r="N549" s="269"/>
    </row>
    <row r="550" spans="1:14" s="3" customFormat="1" ht="12" customHeight="1" x14ac:dyDescent="0.15">
      <c r="A550" s="22" t="s">
        <v>637</v>
      </c>
      <c r="B550" s="74">
        <v>21</v>
      </c>
      <c r="C550" s="74">
        <v>23</v>
      </c>
      <c r="D550" s="2" t="s">
        <v>432</v>
      </c>
      <c r="E550" s="74"/>
      <c r="F550" s="86">
        <f>L522</f>
        <v>5540896.7899999991</v>
      </c>
      <c r="G550" s="86">
        <f>L527</f>
        <v>1531096</v>
      </c>
      <c r="H550" s="86">
        <f>L532</f>
        <v>79897</v>
      </c>
      <c r="I550" s="86">
        <f>L537</f>
        <v>0</v>
      </c>
      <c r="J550" s="86">
        <f>L542</f>
        <v>948528.91999999993</v>
      </c>
      <c r="K550" s="86">
        <f>SUM(F550:J550)</f>
        <v>8100418.709999999</v>
      </c>
      <c r="L550" s="24" t="s">
        <v>288</v>
      </c>
      <c r="M550" s="8"/>
      <c r="N550" s="269"/>
    </row>
    <row r="551" spans="1:14" s="3" customFormat="1" ht="12" customHeight="1" thickBot="1" x14ac:dyDescent="0.2">
      <c r="A551" s="22" t="s">
        <v>638</v>
      </c>
      <c r="B551" s="74">
        <v>21</v>
      </c>
      <c r="C551" s="74">
        <v>24</v>
      </c>
      <c r="D551" s="2" t="s">
        <v>432</v>
      </c>
      <c r="E551" s="74"/>
      <c r="F551" s="86">
        <f>L523</f>
        <v>8147155.1499999985</v>
      </c>
      <c r="G551" s="86">
        <f>L528</f>
        <v>2115021.83</v>
      </c>
      <c r="H551" s="86">
        <f>L533</f>
        <v>110367</v>
      </c>
      <c r="I551" s="86">
        <f>L538</f>
        <v>0</v>
      </c>
      <c r="J551" s="86">
        <f>L543</f>
        <v>1260116.55</v>
      </c>
      <c r="K551" s="86">
        <f>SUM(F551:J551)</f>
        <v>11632660.529999999</v>
      </c>
      <c r="L551" s="24" t="s">
        <v>288</v>
      </c>
      <c r="M551" s="8"/>
      <c r="N551" s="269"/>
    </row>
    <row r="552" spans="1:14" s="3" customFormat="1" ht="12" customHeight="1" thickTop="1" x14ac:dyDescent="0.15">
      <c r="A552" s="171" t="s">
        <v>340</v>
      </c>
      <c r="B552" s="44">
        <v>21</v>
      </c>
      <c r="C552" s="44">
        <v>25</v>
      </c>
      <c r="D552" s="39" t="s">
        <v>432</v>
      </c>
      <c r="E552" s="44"/>
      <c r="F552" s="88">
        <f t="shared" ref="F552:K552" si="42">SUM(F549:F551)</f>
        <v>25327518.18</v>
      </c>
      <c r="G552" s="88">
        <f t="shared" si="42"/>
        <v>7016569.3399999999</v>
      </c>
      <c r="H552" s="88">
        <f t="shared" si="42"/>
        <v>357638</v>
      </c>
      <c r="I552" s="88">
        <f t="shared" si="42"/>
        <v>0</v>
      </c>
      <c r="J552" s="88">
        <f t="shared" si="42"/>
        <v>3725368.3099999996</v>
      </c>
      <c r="K552" s="88">
        <f t="shared" si="42"/>
        <v>36427093.829999998</v>
      </c>
      <c r="L552" s="24"/>
      <c r="M552" s="8"/>
      <c r="N552" s="269"/>
    </row>
    <row r="553" spans="1:14" s="3" customFormat="1" ht="12" customHeight="1" x14ac:dyDescent="0.15">
      <c r="A553" s="95" t="s">
        <v>582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9"/>
    </row>
    <row r="554" spans="1:14" s="3" customFormat="1" ht="12" customHeight="1" x14ac:dyDescent="0.15">
      <c r="B554" s="104"/>
      <c r="C554" s="114"/>
      <c r="D554" s="114"/>
      <c r="E554" s="114"/>
      <c r="F554" s="176" t="s">
        <v>692</v>
      </c>
      <c r="G554" s="176" t="s">
        <v>693</v>
      </c>
      <c r="H554" s="176" t="s">
        <v>694</v>
      </c>
      <c r="I554" s="176" t="s">
        <v>695</v>
      </c>
      <c r="J554" s="176" t="s">
        <v>696</v>
      </c>
      <c r="K554" s="176" t="s">
        <v>697</v>
      </c>
      <c r="L554" s="105"/>
      <c r="M554" s="8"/>
      <c r="N554" s="269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9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69"/>
    </row>
    <row r="557" spans="1:14" s="3" customFormat="1" ht="12" customHeight="1" x14ac:dyDescent="0.15">
      <c r="A557" s="22" t="s">
        <v>636</v>
      </c>
      <c r="B557" s="104">
        <v>22</v>
      </c>
      <c r="C557" s="114">
        <v>1</v>
      </c>
      <c r="D557" s="2" t="s">
        <v>432</v>
      </c>
      <c r="E557" s="114"/>
      <c r="F557" s="18"/>
      <c r="G557" s="18"/>
      <c r="H557" s="18"/>
      <c r="I557" s="18"/>
      <c r="J557" s="18"/>
      <c r="K557" s="18"/>
      <c r="L557" s="87">
        <f>SUM(F557:K557)</f>
        <v>0</v>
      </c>
      <c r="M557" s="8"/>
      <c r="N557" s="269"/>
    </row>
    <row r="558" spans="1:14" s="3" customFormat="1" ht="12" customHeight="1" x14ac:dyDescent="0.15">
      <c r="A558" s="22" t="s">
        <v>637</v>
      </c>
      <c r="B558" s="104">
        <v>22</v>
      </c>
      <c r="C558" s="114">
        <v>2</v>
      </c>
      <c r="D558" s="2" t="s">
        <v>432</v>
      </c>
      <c r="E558" s="114"/>
      <c r="F558" s="18"/>
      <c r="G558" s="18"/>
      <c r="H558" s="18"/>
      <c r="I558" s="18"/>
      <c r="J558" s="18"/>
      <c r="K558" s="18"/>
      <c r="L558" s="87">
        <f>SUM(F558:K558)</f>
        <v>0</v>
      </c>
      <c r="M558" s="8"/>
      <c r="N558" s="269"/>
    </row>
    <row r="559" spans="1:14" s="3" customFormat="1" ht="12" customHeight="1" thickBot="1" x14ac:dyDescent="0.2">
      <c r="A559" s="22" t="s">
        <v>638</v>
      </c>
      <c r="B559" s="104">
        <v>22</v>
      </c>
      <c r="C559" s="114">
        <v>3</v>
      </c>
      <c r="D559" s="2" t="s">
        <v>432</v>
      </c>
      <c r="E559" s="114"/>
      <c r="F559" s="18"/>
      <c r="G559" s="18"/>
      <c r="H559" s="18"/>
      <c r="I559" s="18"/>
      <c r="J559" s="18"/>
      <c r="K559" s="18"/>
      <c r="L559" s="87">
        <f>SUM(F559:K559)</f>
        <v>0</v>
      </c>
      <c r="M559" s="8"/>
      <c r="N559" s="269"/>
    </row>
    <row r="560" spans="1:14" s="3" customFormat="1" ht="12" customHeight="1" thickTop="1" x14ac:dyDescent="0.15">
      <c r="A560" s="138" t="s">
        <v>63</v>
      </c>
      <c r="B560" s="106">
        <v>22</v>
      </c>
      <c r="C560" s="194">
        <v>4</v>
      </c>
      <c r="D560" s="195" t="s">
        <v>432</v>
      </c>
      <c r="E560" s="194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9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69"/>
    </row>
    <row r="562" spans="1:14" s="3" customFormat="1" ht="12" customHeight="1" x14ac:dyDescent="0.15">
      <c r="A562" s="22" t="s">
        <v>636</v>
      </c>
      <c r="B562" s="104">
        <v>22</v>
      </c>
      <c r="C562" s="114">
        <v>5</v>
      </c>
      <c r="D562" s="2" t="s">
        <v>432</v>
      </c>
      <c r="E562" s="114"/>
      <c r="F562" s="18">
        <v>1064253.2300000002</v>
      </c>
      <c r="G562" s="18">
        <v>368239.57</v>
      </c>
      <c r="H562" s="18">
        <v>10074</v>
      </c>
      <c r="I562" s="18">
        <v>6415.62</v>
      </c>
      <c r="J562" s="18">
        <v>25935</v>
      </c>
      <c r="K562" s="18">
        <v>0</v>
      </c>
      <c r="L562" s="87">
        <f>SUM(F562:K562)</f>
        <v>1474917.4200000004</v>
      </c>
      <c r="M562" s="8"/>
      <c r="N562" s="269"/>
    </row>
    <row r="563" spans="1:14" s="3" customFormat="1" ht="12" customHeight="1" x14ac:dyDescent="0.15">
      <c r="A563" s="22" t="s">
        <v>637</v>
      </c>
      <c r="B563" s="104">
        <v>22</v>
      </c>
      <c r="C563" s="114">
        <v>6</v>
      </c>
      <c r="D563" s="2" t="s">
        <v>432</v>
      </c>
      <c r="E563" s="114"/>
      <c r="F563" s="18">
        <v>314508.90000000002</v>
      </c>
      <c r="G563" s="18">
        <v>124967.56999999999</v>
      </c>
      <c r="H563" s="18">
        <v>3258</v>
      </c>
      <c r="I563" s="18">
        <v>2474.42</v>
      </c>
      <c r="J563" s="18">
        <v>8387</v>
      </c>
      <c r="K563" s="18">
        <v>0</v>
      </c>
      <c r="L563" s="87">
        <f>SUM(F563:K563)</f>
        <v>453595.89</v>
      </c>
      <c r="M563" s="8"/>
      <c r="N563" s="269"/>
    </row>
    <row r="564" spans="1:14" s="3" customFormat="1" ht="12" customHeight="1" thickBot="1" x14ac:dyDescent="0.2">
      <c r="A564" s="22" t="s">
        <v>638</v>
      </c>
      <c r="B564" s="104">
        <v>22</v>
      </c>
      <c r="C564" s="117">
        <v>7</v>
      </c>
      <c r="D564" s="2" t="s">
        <v>432</v>
      </c>
      <c r="E564" s="117"/>
      <c r="F564" s="18">
        <v>532567.82000000007</v>
      </c>
      <c r="G564" s="18">
        <v>189167.01</v>
      </c>
      <c r="H564" s="18">
        <v>3752</v>
      </c>
      <c r="I564" s="18">
        <v>1851.45</v>
      </c>
      <c r="J564" s="18">
        <v>9658</v>
      </c>
      <c r="K564" s="18">
        <v>0</v>
      </c>
      <c r="L564" s="87">
        <f>SUM(F564:K564)</f>
        <v>736996.28</v>
      </c>
      <c r="M564" s="8"/>
      <c r="N564" s="269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5" t="s">
        <v>432</v>
      </c>
      <c r="E565" s="106"/>
      <c r="F565" s="88">
        <f t="shared" ref="F565:L565" si="44">SUM(F562:F564)</f>
        <v>1911329.9500000004</v>
      </c>
      <c r="G565" s="88">
        <f t="shared" si="44"/>
        <v>682374.15</v>
      </c>
      <c r="H565" s="88">
        <f t="shared" si="44"/>
        <v>17084</v>
      </c>
      <c r="I565" s="88">
        <f t="shared" si="44"/>
        <v>10741.490000000002</v>
      </c>
      <c r="J565" s="88">
        <f t="shared" si="44"/>
        <v>43980</v>
      </c>
      <c r="K565" s="88">
        <f t="shared" si="44"/>
        <v>0</v>
      </c>
      <c r="L565" s="88">
        <f t="shared" si="44"/>
        <v>2665509.5900000008</v>
      </c>
      <c r="M565" s="8"/>
      <c r="N565" s="269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69"/>
    </row>
    <row r="567" spans="1:14" s="3" customFormat="1" ht="12" customHeight="1" x14ac:dyDescent="0.15">
      <c r="A567" s="22" t="s">
        <v>636</v>
      </c>
      <c r="B567" s="104">
        <v>22</v>
      </c>
      <c r="C567" s="104">
        <v>9</v>
      </c>
      <c r="D567" s="2" t="s">
        <v>432</v>
      </c>
      <c r="E567" s="104"/>
      <c r="F567" s="18"/>
      <c r="G567" s="18"/>
      <c r="H567" s="18"/>
      <c r="I567" s="18"/>
      <c r="J567" s="18"/>
      <c r="K567" s="18"/>
      <c r="L567" s="87">
        <f>SUM(F567:K567)</f>
        <v>0</v>
      </c>
      <c r="M567" s="8"/>
      <c r="N567" s="269"/>
    </row>
    <row r="568" spans="1:14" s="3" customFormat="1" ht="12" customHeight="1" x14ac:dyDescent="0.15">
      <c r="A568" s="22" t="s">
        <v>637</v>
      </c>
      <c r="B568" s="104">
        <v>22</v>
      </c>
      <c r="C568" s="104">
        <v>10</v>
      </c>
      <c r="D568" s="2" t="s">
        <v>432</v>
      </c>
      <c r="E568" s="104"/>
      <c r="F568" s="18"/>
      <c r="G568" s="18"/>
      <c r="H568" s="18"/>
      <c r="I568" s="18"/>
      <c r="J568" s="18"/>
      <c r="K568" s="18"/>
      <c r="L568" s="87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638</v>
      </c>
      <c r="B569" s="104">
        <v>22</v>
      </c>
      <c r="C569" s="104">
        <v>11</v>
      </c>
      <c r="D569" s="2" t="s">
        <v>432</v>
      </c>
      <c r="E569" s="104"/>
      <c r="F569" s="18"/>
      <c r="G569" s="18"/>
      <c r="H569" s="18"/>
      <c r="I569" s="18"/>
      <c r="J569" s="18"/>
      <c r="K569" s="18"/>
      <c r="L569" s="87">
        <f>SUM(F569:K569)</f>
        <v>0</v>
      </c>
      <c r="M569" s="8"/>
      <c r="N569" s="269"/>
    </row>
    <row r="570" spans="1:14" s="3" customFormat="1" ht="12" customHeight="1" thickTop="1" thickBot="1" x14ac:dyDescent="0.2">
      <c r="A570" s="129" t="s">
        <v>67</v>
      </c>
      <c r="B570" s="190">
        <v>22</v>
      </c>
      <c r="C570" s="190">
        <v>12</v>
      </c>
      <c r="D570" s="196" t="s">
        <v>432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69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7" t="s">
        <v>432</v>
      </c>
      <c r="E571" s="106"/>
      <c r="F571" s="88">
        <f>F560+F565+F570</f>
        <v>1911329.9500000004</v>
      </c>
      <c r="G571" s="88">
        <f t="shared" ref="G571:L571" si="46">G560+G565+G570</f>
        <v>682374.15</v>
      </c>
      <c r="H571" s="88">
        <f t="shared" si="46"/>
        <v>17084</v>
      </c>
      <c r="I571" s="88">
        <f t="shared" si="46"/>
        <v>10741.490000000002</v>
      </c>
      <c r="J571" s="88">
        <f t="shared" si="46"/>
        <v>43980</v>
      </c>
      <c r="K571" s="88">
        <f t="shared" si="46"/>
        <v>0</v>
      </c>
      <c r="L571" s="88">
        <f t="shared" si="46"/>
        <v>2665509.5900000008</v>
      </c>
      <c r="M571" s="8"/>
      <c r="N571" s="269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9"/>
    </row>
    <row r="573" spans="1:14" s="3" customFormat="1" ht="12" customHeight="1" x14ac:dyDescent="0.15">
      <c r="A573" s="96" t="s">
        <v>774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9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288</v>
      </c>
      <c r="K574" s="24" t="s">
        <v>288</v>
      </c>
      <c r="L574" s="24" t="s">
        <v>288</v>
      </c>
      <c r="M574" s="8"/>
      <c r="N574" s="269"/>
    </row>
    <row r="575" spans="1:14" s="3" customFormat="1" ht="12" customHeight="1" x14ac:dyDescent="0.15">
      <c r="A575" s="98" t="s">
        <v>672</v>
      </c>
      <c r="B575" s="74">
        <v>22</v>
      </c>
      <c r="C575" s="74">
        <v>14</v>
      </c>
      <c r="D575" s="2" t="s">
        <v>432</v>
      </c>
      <c r="E575" s="74">
        <v>561</v>
      </c>
      <c r="F575" s="18"/>
      <c r="G575" s="18"/>
      <c r="H575" s="18"/>
      <c r="I575" s="86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69"/>
    </row>
    <row r="576" spans="1:14" s="3" customFormat="1" ht="12" customHeight="1" x14ac:dyDescent="0.15">
      <c r="A576" s="98" t="s">
        <v>673</v>
      </c>
      <c r="B576" s="74">
        <v>22</v>
      </c>
      <c r="C576" s="74">
        <v>15</v>
      </c>
      <c r="D576" s="2" t="s">
        <v>432</v>
      </c>
      <c r="E576" s="74">
        <v>562</v>
      </c>
      <c r="F576" s="18"/>
      <c r="G576" s="18"/>
      <c r="H576" s="18"/>
      <c r="I576" s="86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69"/>
    </row>
    <row r="577" spans="1:14" s="3" customFormat="1" ht="12" customHeight="1" x14ac:dyDescent="0.15">
      <c r="A577" s="98" t="s">
        <v>743</v>
      </c>
      <c r="B577" s="74">
        <v>22</v>
      </c>
      <c r="C577" s="74">
        <v>16</v>
      </c>
      <c r="D577" s="2" t="s">
        <v>432</v>
      </c>
      <c r="E577" s="74">
        <v>563</v>
      </c>
      <c r="F577" s="24" t="s">
        <v>288</v>
      </c>
      <c r="G577" s="24" t="s">
        <v>288</v>
      </c>
      <c r="H577" s="18"/>
      <c r="I577" s="86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69"/>
    </row>
    <row r="578" spans="1:14" s="3" customFormat="1" ht="12" customHeight="1" x14ac:dyDescent="0.15">
      <c r="A578" s="98" t="s">
        <v>677</v>
      </c>
      <c r="B578" s="74">
        <v>22</v>
      </c>
      <c r="C578" s="74">
        <v>17</v>
      </c>
      <c r="D578" s="2" t="s">
        <v>432</v>
      </c>
      <c r="E578" s="74">
        <v>564</v>
      </c>
      <c r="F578" s="18"/>
      <c r="G578" s="18"/>
      <c r="H578" s="18"/>
      <c r="I578" s="86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69"/>
    </row>
    <row r="579" spans="1:14" s="3" customFormat="1" ht="12" customHeight="1" x14ac:dyDescent="0.15">
      <c r="A579" s="98" t="s">
        <v>674</v>
      </c>
      <c r="B579" s="74">
        <v>22</v>
      </c>
      <c r="C579" s="74">
        <v>18</v>
      </c>
      <c r="D579" s="2" t="s">
        <v>432</v>
      </c>
      <c r="E579" s="74">
        <v>561</v>
      </c>
      <c r="F579" s="18">
        <v>37691.800000000003</v>
      </c>
      <c r="G579" s="18">
        <v>72306.060000000012</v>
      </c>
      <c r="H579" s="18">
        <v>114806.13</v>
      </c>
      <c r="I579" s="86">
        <f t="shared" si="47"/>
        <v>224803.99000000002</v>
      </c>
      <c r="J579" s="24" t="s">
        <v>288</v>
      </c>
      <c r="K579" s="24" t="s">
        <v>288</v>
      </c>
      <c r="L579" s="24" t="s">
        <v>288</v>
      </c>
      <c r="M579" s="8"/>
      <c r="N579" s="269"/>
    </row>
    <row r="580" spans="1:14" s="3" customFormat="1" ht="12" customHeight="1" x14ac:dyDescent="0.15">
      <c r="A580" s="98" t="s">
        <v>675</v>
      </c>
      <c r="B580" s="74">
        <v>22</v>
      </c>
      <c r="C580" s="74">
        <v>19</v>
      </c>
      <c r="D580" s="2" t="s">
        <v>432</v>
      </c>
      <c r="E580" s="74">
        <v>562</v>
      </c>
      <c r="F580" s="18">
        <v>0</v>
      </c>
      <c r="G580" s="18">
        <v>0</v>
      </c>
      <c r="H580" s="18">
        <v>48603.6</v>
      </c>
      <c r="I580" s="86">
        <f t="shared" si="47"/>
        <v>48603.6</v>
      </c>
      <c r="J580" s="24" t="s">
        <v>288</v>
      </c>
      <c r="K580" s="24" t="s">
        <v>288</v>
      </c>
      <c r="L580" s="24" t="s">
        <v>288</v>
      </c>
      <c r="M580" s="8"/>
      <c r="N580" s="269"/>
    </row>
    <row r="581" spans="1:14" s="3" customFormat="1" ht="12" customHeight="1" x14ac:dyDescent="0.15">
      <c r="A581" s="145" t="s">
        <v>744</v>
      </c>
      <c r="B581" s="74">
        <v>22</v>
      </c>
      <c r="C581" s="74">
        <v>20</v>
      </c>
      <c r="D581" s="2" t="s">
        <v>432</v>
      </c>
      <c r="E581" s="74">
        <v>563</v>
      </c>
      <c r="F581" s="24" t="s">
        <v>288</v>
      </c>
      <c r="G581" s="24" t="s">
        <v>288</v>
      </c>
      <c r="H581" s="18"/>
      <c r="I581" s="86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69"/>
    </row>
    <row r="582" spans="1:14" s="3" customFormat="1" ht="12" customHeight="1" x14ac:dyDescent="0.15">
      <c r="A582" s="145" t="s">
        <v>676</v>
      </c>
      <c r="B582" s="74">
        <v>22</v>
      </c>
      <c r="C582" s="74">
        <v>21</v>
      </c>
      <c r="D582" s="2" t="s">
        <v>432</v>
      </c>
      <c r="E582" s="74">
        <v>564</v>
      </c>
      <c r="F582" s="18">
        <v>360655.63</v>
      </c>
      <c r="G582" s="18">
        <v>1231838.5199999998</v>
      </c>
      <c r="H582" s="18">
        <v>3613050.8299999982</v>
      </c>
      <c r="I582" s="86">
        <f t="shared" si="47"/>
        <v>5205544.9799999986</v>
      </c>
      <c r="J582" s="24" t="s">
        <v>288</v>
      </c>
      <c r="K582" s="24" t="s">
        <v>288</v>
      </c>
      <c r="L582" s="24" t="s">
        <v>288</v>
      </c>
      <c r="M582" s="8"/>
      <c r="N582" s="269"/>
    </row>
    <row r="583" spans="1:14" s="3" customFormat="1" ht="12" customHeight="1" x14ac:dyDescent="0.15">
      <c r="A583" s="145" t="s">
        <v>639</v>
      </c>
      <c r="B583" s="74">
        <v>22</v>
      </c>
      <c r="C583" s="74">
        <v>22</v>
      </c>
      <c r="D583" s="2" t="s">
        <v>432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69"/>
    </row>
    <row r="584" spans="1:14" s="3" customFormat="1" ht="12" customHeight="1" x14ac:dyDescent="0.15">
      <c r="A584" s="22" t="s">
        <v>678</v>
      </c>
      <c r="B584" s="74">
        <v>22</v>
      </c>
      <c r="C584" s="74">
        <v>23</v>
      </c>
      <c r="D584" s="2" t="s">
        <v>432</v>
      </c>
      <c r="E584" s="74">
        <v>561</v>
      </c>
      <c r="F584" s="18"/>
      <c r="G584" s="18"/>
      <c r="H584" s="18"/>
      <c r="I584" s="86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69"/>
    </row>
    <row r="585" spans="1:14" s="3" customFormat="1" ht="12" customHeight="1" x14ac:dyDescent="0.15">
      <c r="A585" s="22" t="s">
        <v>679</v>
      </c>
      <c r="B585" s="74">
        <v>22</v>
      </c>
      <c r="C585" s="74">
        <v>24</v>
      </c>
      <c r="D585" s="2" t="s">
        <v>432</v>
      </c>
      <c r="E585" s="74">
        <v>562</v>
      </c>
      <c r="F585" s="18"/>
      <c r="G585" s="18"/>
      <c r="H585" s="18"/>
      <c r="I585" s="86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69"/>
    </row>
    <row r="586" spans="1:14" s="3" customFormat="1" ht="12" customHeight="1" x14ac:dyDescent="0.15">
      <c r="A586" s="22" t="s">
        <v>745</v>
      </c>
      <c r="B586" s="74">
        <v>22</v>
      </c>
      <c r="C586" s="74">
        <v>25</v>
      </c>
      <c r="D586" s="2" t="s">
        <v>432</v>
      </c>
      <c r="E586" s="74">
        <v>563</v>
      </c>
      <c r="F586" s="24" t="s">
        <v>288</v>
      </c>
      <c r="G586" s="24" t="s">
        <v>288</v>
      </c>
      <c r="H586" s="18"/>
      <c r="I586" s="86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69"/>
    </row>
    <row r="587" spans="1:14" s="3" customFormat="1" ht="12" customHeight="1" x14ac:dyDescent="0.15">
      <c r="A587" s="22" t="s">
        <v>680</v>
      </c>
      <c r="B587" s="74">
        <v>22</v>
      </c>
      <c r="C587" s="74">
        <v>26</v>
      </c>
      <c r="D587" s="2" t="s">
        <v>432</v>
      </c>
      <c r="E587" s="74">
        <v>564</v>
      </c>
      <c r="F587" s="18"/>
      <c r="G587" s="18"/>
      <c r="H587" s="18"/>
      <c r="I587" s="86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69"/>
    </row>
    <row r="588" spans="1:14" s="3" customFormat="1" ht="12" customHeight="1" x14ac:dyDescent="0.15">
      <c r="A588" s="172" t="s">
        <v>746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9"/>
    </row>
    <row r="589" spans="1:14" s="3" customFormat="1" ht="12" customHeight="1" x14ac:dyDescent="0.15">
      <c r="A589" s="146" t="s">
        <v>657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9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9"/>
    </row>
    <row r="591" spans="1:14" s="3" customFormat="1" ht="12" customHeight="1" x14ac:dyDescent="0.15">
      <c r="A591" s="3" t="s">
        <v>640</v>
      </c>
      <c r="B591" s="74">
        <v>23</v>
      </c>
      <c r="C591" s="74">
        <v>1</v>
      </c>
      <c r="D591" s="2" t="s">
        <v>432</v>
      </c>
      <c r="E591" s="74"/>
      <c r="F591" s="101">
        <v>2721</v>
      </c>
      <c r="G591" s="102" t="s">
        <v>97</v>
      </c>
      <c r="H591" s="18">
        <v>1215004</v>
      </c>
      <c r="I591" s="18">
        <v>785223</v>
      </c>
      <c r="J591" s="18">
        <v>808124.4800000001</v>
      </c>
      <c r="K591" s="103">
        <f t="shared" ref="K591:K597" si="48">SUM(H591:J591)</f>
        <v>2808351.48</v>
      </c>
      <c r="L591" s="24" t="s">
        <v>288</v>
      </c>
      <c r="M591" s="8"/>
      <c r="N591" s="269"/>
    </row>
    <row r="592" spans="1:14" s="3" customFormat="1" ht="12" customHeight="1" x14ac:dyDescent="0.15">
      <c r="A592" s="3" t="s">
        <v>641</v>
      </c>
      <c r="B592" s="74">
        <v>23</v>
      </c>
      <c r="C592" s="74">
        <v>2</v>
      </c>
      <c r="D592" s="2" t="s">
        <v>432</v>
      </c>
      <c r="E592" s="74"/>
      <c r="F592" s="101">
        <v>2722</v>
      </c>
      <c r="G592" s="102" t="s">
        <v>97</v>
      </c>
      <c r="H592" s="18">
        <v>1516722.84</v>
      </c>
      <c r="I592" s="18">
        <v>948528.91999999993</v>
      </c>
      <c r="J592" s="18">
        <v>1260116.55</v>
      </c>
      <c r="K592" s="103">
        <f t="shared" si="48"/>
        <v>3725368.3099999996</v>
      </c>
      <c r="L592" s="24" t="s">
        <v>288</v>
      </c>
      <c r="M592" s="8"/>
      <c r="N592" s="269"/>
    </row>
    <row r="593" spans="1:14" s="3" customFormat="1" ht="12" customHeight="1" x14ac:dyDescent="0.15">
      <c r="A593" s="3" t="s">
        <v>642</v>
      </c>
      <c r="B593" s="74">
        <v>23</v>
      </c>
      <c r="C593" s="74">
        <v>3</v>
      </c>
      <c r="D593" s="2" t="s">
        <v>432</v>
      </c>
      <c r="E593" s="74"/>
      <c r="F593" s="101">
        <v>2723</v>
      </c>
      <c r="G593" s="102" t="s">
        <v>97</v>
      </c>
      <c r="H593" s="18"/>
      <c r="I593" s="18"/>
      <c r="J593" s="18">
        <v>26436.57</v>
      </c>
      <c r="K593" s="103">
        <f t="shared" si="48"/>
        <v>26436.57</v>
      </c>
      <c r="L593" s="24" t="s">
        <v>288</v>
      </c>
      <c r="M593" s="8"/>
      <c r="N593" s="269"/>
    </row>
    <row r="594" spans="1:14" s="3" customFormat="1" ht="12" customHeight="1" x14ac:dyDescent="0.15">
      <c r="A594" s="22" t="s">
        <v>643</v>
      </c>
      <c r="B594" s="74">
        <v>23</v>
      </c>
      <c r="C594" s="74">
        <v>4</v>
      </c>
      <c r="D594" s="2" t="s">
        <v>432</v>
      </c>
      <c r="E594" s="74"/>
      <c r="F594" s="101">
        <v>2724</v>
      </c>
      <c r="G594" s="102" t="s">
        <v>97</v>
      </c>
      <c r="H594" s="18"/>
      <c r="I594" s="18">
        <v>31686.6</v>
      </c>
      <c r="J594" s="18">
        <v>162088.98000000001</v>
      </c>
      <c r="K594" s="103">
        <f t="shared" si="48"/>
        <v>193775.58000000002</v>
      </c>
      <c r="L594" s="24" t="s">
        <v>288</v>
      </c>
      <c r="M594" s="8"/>
      <c r="N594" s="269"/>
    </row>
    <row r="595" spans="1:14" s="3" customFormat="1" ht="12" customHeight="1" x14ac:dyDescent="0.15">
      <c r="A595" s="170" t="s">
        <v>655</v>
      </c>
      <c r="B595" s="74">
        <v>23</v>
      </c>
      <c r="C595" s="74">
        <v>5</v>
      </c>
      <c r="D595" s="2" t="s">
        <v>432</v>
      </c>
      <c r="E595" s="74"/>
      <c r="F595" s="101">
        <v>2725</v>
      </c>
      <c r="G595" s="102" t="s">
        <v>97</v>
      </c>
      <c r="H595" s="18"/>
      <c r="I595" s="18"/>
      <c r="J595" s="18">
        <v>12792.970000000001</v>
      </c>
      <c r="K595" s="103">
        <f t="shared" si="48"/>
        <v>12792.970000000001</v>
      </c>
      <c r="L595" s="24" t="s">
        <v>288</v>
      </c>
      <c r="M595" s="8"/>
      <c r="N595" s="269"/>
    </row>
    <row r="596" spans="1:14" s="3" customFormat="1" ht="12" customHeight="1" x14ac:dyDescent="0.15">
      <c r="A596" s="22" t="s">
        <v>644</v>
      </c>
      <c r="B596" s="74">
        <v>23</v>
      </c>
      <c r="C596" s="74">
        <v>6</v>
      </c>
      <c r="D596" s="2" t="s">
        <v>432</v>
      </c>
      <c r="E596" s="74"/>
      <c r="F596" s="101">
        <v>2726</v>
      </c>
      <c r="G596" s="102" t="s">
        <v>97</v>
      </c>
      <c r="H596" s="18"/>
      <c r="I596" s="18"/>
      <c r="J596" s="18"/>
      <c r="K596" s="103">
        <f t="shared" si="48"/>
        <v>0</v>
      </c>
      <c r="L596" s="24" t="s">
        <v>288</v>
      </c>
      <c r="M596" s="8"/>
      <c r="N596" s="269"/>
    </row>
    <row r="597" spans="1:14" s="3" customFormat="1" ht="12" customHeight="1" thickBot="1" x14ac:dyDescent="0.2">
      <c r="A597" s="3" t="s">
        <v>658</v>
      </c>
      <c r="B597" s="74">
        <v>23</v>
      </c>
      <c r="C597" s="74">
        <v>7</v>
      </c>
      <c r="D597" s="2" t="s">
        <v>432</v>
      </c>
      <c r="E597" s="74"/>
      <c r="F597" s="101">
        <v>2729</v>
      </c>
      <c r="G597" s="102" t="s">
        <v>97</v>
      </c>
      <c r="H597" s="18"/>
      <c r="I597" s="18"/>
      <c r="J597" s="18"/>
      <c r="K597" s="103">
        <f t="shared" si="48"/>
        <v>0</v>
      </c>
      <c r="L597" s="24" t="s">
        <v>288</v>
      </c>
      <c r="M597" s="8"/>
      <c r="N597" s="269"/>
    </row>
    <row r="598" spans="1:14" s="3" customFormat="1" ht="12" customHeight="1" thickTop="1" x14ac:dyDescent="0.15">
      <c r="A598" s="97" t="s">
        <v>340</v>
      </c>
      <c r="B598" s="44">
        <v>23</v>
      </c>
      <c r="C598" s="44">
        <v>8</v>
      </c>
      <c r="D598" s="39" t="s">
        <v>432</v>
      </c>
      <c r="E598" s="44"/>
      <c r="F598" s="147">
        <v>2700</v>
      </c>
      <c r="G598" s="148" t="s">
        <v>97</v>
      </c>
      <c r="H598" s="107">
        <f>SUM(H591:H597)</f>
        <v>2731726.84</v>
      </c>
      <c r="I598" s="107">
        <f>SUM(I591:I597)</f>
        <v>1765438.52</v>
      </c>
      <c r="J598" s="107">
        <f>SUM(J591:J597)</f>
        <v>2269559.5500000007</v>
      </c>
      <c r="K598" s="107">
        <f>SUM(K591:K597)</f>
        <v>6766724.9099999992</v>
      </c>
      <c r="L598" s="24" t="s">
        <v>288</v>
      </c>
      <c r="M598" s="8"/>
      <c r="N598" s="269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9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9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9"/>
    </row>
    <row r="602" spans="1:14" s="3" customFormat="1" ht="12" customHeight="1" x14ac:dyDescent="0.15">
      <c r="A602" s="22" t="s">
        <v>645</v>
      </c>
      <c r="B602" s="104">
        <v>23</v>
      </c>
      <c r="C602" s="104">
        <v>9</v>
      </c>
      <c r="D602" s="2" t="s">
        <v>432</v>
      </c>
      <c r="E602" s="104"/>
      <c r="F602" s="102" t="s">
        <v>476</v>
      </c>
      <c r="G602" s="101">
        <v>710</v>
      </c>
      <c r="H602" s="18"/>
      <c r="I602" s="18"/>
      <c r="J602" s="18"/>
      <c r="K602" s="103">
        <f>SUM(H602:J602)</f>
        <v>0</v>
      </c>
      <c r="L602" s="24" t="s">
        <v>288</v>
      </c>
      <c r="M602" s="8"/>
      <c r="N602" s="269"/>
    </row>
    <row r="603" spans="1:14" s="3" customFormat="1" ht="12" customHeight="1" x14ac:dyDescent="0.15">
      <c r="A603" s="22" t="s">
        <v>646</v>
      </c>
      <c r="B603" s="104">
        <v>23</v>
      </c>
      <c r="C603" s="104">
        <v>10</v>
      </c>
      <c r="D603" s="2" t="s">
        <v>432</v>
      </c>
      <c r="E603" s="104"/>
      <c r="F603" s="102" t="s">
        <v>476</v>
      </c>
      <c r="G603" s="101">
        <v>720</v>
      </c>
      <c r="H603" s="18"/>
      <c r="I603" s="18"/>
      <c r="J603" s="18"/>
      <c r="K603" s="103">
        <f>SUM(H603:J603)</f>
        <v>0</v>
      </c>
      <c r="L603" s="24" t="s">
        <v>288</v>
      </c>
      <c r="M603" s="8"/>
      <c r="N603" s="269"/>
    </row>
    <row r="604" spans="1:14" s="3" customFormat="1" ht="12" customHeight="1" thickBot="1" x14ac:dyDescent="0.2">
      <c r="A604" s="22" t="s">
        <v>647</v>
      </c>
      <c r="B604" s="104">
        <v>23</v>
      </c>
      <c r="C604" s="104">
        <v>11</v>
      </c>
      <c r="D604" s="2" t="s">
        <v>432</v>
      </c>
      <c r="E604" s="104"/>
      <c r="F604" s="102" t="s">
        <v>476</v>
      </c>
      <c r="G604" s="101">
        <v>730</v>
      </c>
      <c r="H604" s="18">
        <v>1119757.76</v>
      </c>
      <c r="I604" s="18">
        <v>432983.41000000003</v>
      </c>
      <c r="J604" s="18">
        <v>612054.46</v>
      </c>
      <c r="K604" s="103">
        <f>SUM(H604:J604)</f>
        <v>2164795.63</v>
      </c>
      <c r="L604" s="24" t="s">
        <v>288</v>
      </c>
      <c r="M604" s="8"/>
      <c r="N604" s="269"/>
    </row>
    <row r="605" spans="1:14" s="3" customFormat="1" ht="12" customHeight="1" thickTop="1" x14ac:dyDescent="0.15">
      <c r="A605" s="97" t="s">
        <v>340</v>
      </c>
      <c r="B605" s="44">
        <v>23</v>
      </c>
      <c r="C605" s="44">
        <v>12</v>
      </c>
      <c r="D605" s="39" t="s">
        <v>432</v>
      </c>
      <c r="E605" s="44"/>
      <c r="F605" s="148" t="s">
        <v>476</v>
      </c>
      <c r="G605" s="147">
        <v>700</v>
      </c>
      <c r="H605" s="107">
        <f>SUM(H602:H604)</f>
        <v>1119757.76</v>
      </c>
      <c r="I605" s="107">
        <f>SUM(I602:I604)</f>
        <v>432983.41000000003</v>
      </c>
      <c r="J605" s="107">
        <f>SUM(J602:J604)</f>
        <v>612054.46</v>
      </c>
      <c r="K605" s="107">
        <f>SUM(K602:K604)</f>
        <v>2164795.63</v>
      </c>
      <c r="L605" s="24" t="s">
        <v>288</v>
      </c>
      <c r="M605" s="8"/>
      <c r="N605" s="269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9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9"/>
    </row>
    <row r="608" spans="1:14" s="3" customFormat="1" ht="12" customHeight="1" x14ac:dyDescent="0.15">
      <c r="A608" s="95" t="s">
        <v>583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9"/>
    </row>
    <row r="609" spans="1:14" s="3" customFormat="1" ht="12" customHeight="1" x14ac:dyDescent="0.15">
      <c r="B609" s="104"/>
      <c r="C609" s="104"/>
      <c r="D609" s="104"/>
      <c r="E609" s="104"/>
      <c r="F609" s="176" t="s">
        <v>692</v>
      </c>
      <c r="G609" s="176" t="s">
        <v>693</v>
      </c>
      <c r="H609" s="176" t="s">
        <v>694</v>
      </c>
      <c r="I609" s="176" t="s">
        <v>695</v>
      </c>
      <c r="J609" s="176" t="s">
        <v>696</v>
      </c>
      <c r="K609" s="176" t="s">
        <v>697</v>
      </c>
      <c r="L609" s="87"/>
      <c r="M609" s="8"/>
      <c r="N609" s="269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9"/>
    </row>
    <row r="611" spans="1:14" s="3" customFormat="1" ht="12" customHeight="1" x14ac:dyDescent="0.15">
      <c r="A611" s="22" t="s">
        <v>636</v>
      </c>
      <c r="B611" s="74">
        <v>23</v>
      </c>
      <c r="C611" s="74">
        <v>13</v>
      </c>
      <c r="D611" s="2" t="s">
        <v>432</v>
      </c>
      <c r="E611" s="74"/>
      <c r="F611" s="18">
        <v>75199.460000000006</v>
      </c>
      <c r="G611" s="18">
        <v>8886.52</v>
      </c>
      <c r="H611" s="18">
        <v>9019.3700000000008</v>
      </c>
      <c r="I611" s="18">
        <v>3343.66</v>
      </c>
      <c r="J611" s="18">
        <v>0</v>
      </c>
      <c r="K611" s="18">
        <v>0</v>
      </c>
      <c r="L611" s="87">
        <f>SUM(F611:K611)</f>
        <v>96449.010000000009</v>
      </c>
      <c r="M611" s="8"/>
      <c r="N611" s="269"/>
    </row>
    <row r="612" spans="1:14" s="3" customFormat="1" ht="12" customHeight="1" x14ac:dyDescent="0.15">
      <c r="A612" s="22" t="s">
        <v>637</v>
      </c>
      <c r="B612" s="74">
        <v>23</v>
      </c>
      <c r="C612" s="74">
        <v>14</v>
      </c>
      <c r="D612" s="2" t="s">
        <v>432</v>
      </c>
      <c r="E612" s="74"/>
      <c r="F612" s="18">
        <v>65818.510000000009</v>
      </c>
      <c r="G612" s="18">
        <v>1930.6</v>
      </c>
      <c r="H612" s="18">
        <v>1959.46</v>
      </c>
      <c r="I612" s="18">
        <v>8625.119999999999</v>
      </c>
      <c r="J612" s="18">
        <v>0</v>
      </c>
      <c r="K612" s="18">
        <v>0</v>
      </c>
      <c r="L612" s="87">
        <f>SUM(F612:K612)</f>
        <v>78333.690000000017</v>
      </c>
      <c r="M612" s="8"/>
      <c r="N612" s="269"/>
    </row>
    <row r="613" spans="1:14" s="3" customFormat="1" ht="12" customHeight="1" thickBot="1" x14ac:dyDescent="0.2">
      <c r="A613" s="22" t="s">
        <v>648</v>
      </c>
      <c r="B613" s="74">
        <v>23</v>
      </c>
      <c r="C613" s="74">
        <v>15</v>
      </c>
      <c r="D613" s="2" t="s">
        <v>432</v>
      </c>
      <c r="E613" s="74"/>
      <c r="F613" s="18">
        <v>72936.710000000006</v>
      </c>
      <c r="G613" s="18">
        <v>8619.1200000000008</v>
      </c>
      <c r="H613" s="18">
        <v>8747.9699999999993</v>
      </c>
      <c r="I613" s="18">
        <v>3243.05</v>
      </c>
      <c r="J613" s="18">
        <v>0</v>
      </c>
      <c r="K613" s="18">
        <v>0</v>
      </c>
      <c r="L613" s="87">
        <f>SUM(F613:K613)</f>
        <v>93546.85</v>
      </c>
      <c r="M613" s="8"/>
      <c r="N613" s="269"/>
    </row>
    <row r="614" spans="1:14" s="3" customFormat="1" ht="12" customHeight="1" thickTop="1" x14ac:dyDescent="0.15">
      <c r="A614" s="97" t="s">
        <v>340</v>
      </c>
      <c r="B614" s="106">
        <v>23</v>
      </c>
      <c r="C614" s="106">
        <v>16</v>
      </c>
      <c r="D614" s="39" t="s">
        <v>432</v>
      </c>
      <c r="E614" s="106"/>
      <c r="F614" s="107">
        <f t="shared" ref="F614:L614" si="49">SUM(F611:F613)</f>
        <v>213954.68000000005</v>
      </c>
      <c r="G614" s="107">
        <f t="shared" si="49"/>
        <v>19436.240000000002</v>
      </c>
      <c r="H614" s="107">
        <f t="shared" si="49"/>
        <v>19726.800000000003</v>
      </c>
      <c r="I614" s="107">
        <f t="shared" si="49"/>
        <v>15211.829999999998</v>
      </c>
      <c r="J614" s="107">
        <f t="shared" si="49"/>
        <v>0</v>
      </c>
      <c r="K614" s="107">
        <f t="shared" si="49"/>
        <v>0</v>
      </c>
      <c r="L614" s="88">
        <f t="shared" si="49"/>
        <v>268329.55000000005</v>
      </c>
      <c r="M614" s="8"/>
      <c r="N614" s="269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9" t="s">
        <v>53</v>
      </c>
      <c r="G616" s="150"/>
      <c r="H616" s="150"/>
      <c r="I616" s="149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686</v>
      </c>
      <c r="G617" s="108">
        <f>SUM(F19)</f>
        <v>0</v>
      </c>
      <c r="H617" s="108">
        <f>SUM(F52)</f>
        <v>0</v>
      </c>
      <c r="I617" s="120" t="s">
        <v>890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687</v>
      </c>
      <c r="G618" s="108">
        <f>SUM(G19)</f>
        <v>541304.56000000006</v>
      </c>
      <c r="H618" s="108">
        <f>SUM(G52)</f>
        <v>541304.56000000006</v>
      </c>
      <c r="I618" s="120" t="s">
        <v>891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688</v>
      </c>
      <c r="G619" s="108">
        <f>SUM(H19)</f>
        <v>3689776.26</v>
      </c>
      <c r="H619" s="108">
        <f>SUM(H52)</f>
        <v>3689776.26</v>
      </c>
      <c r="I619" s="120" t="s">
        <v>892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689</v>
      </c>
      <c r="G620" s="108">
        <f>SUM(I19)</f>
        <v>221785.81</v>
      </c>
      <c r="H620" s="108">
        <f>SUM(I52)</f>
        <v>221785.81000000006</v>
      </c>
      <c r="I620" s="120" t="s">
        <v>893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690</v>
      </c>
      <c r="G621" s="108">
        <f>SUM(J19)</f>
        <v>8121237.2799999993</v>
      </c>
      <c r="H621" s="108">
        <f>SUM(J52)</f>
        <v>8121237.2800000003</v>
      </c>
      <c r="I621" s="120" t="s">
        <v>894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880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0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881</v>
      </c>
      <c r="G623" s="108">
        <f>G51</f>
        <v>540063.25</v>
      </c>
      <c r="H623" s="108">
        <f>G476</f>
        <v>540063.24999999907</v>
      </c>
      <c r="I623" s="120" t="s">
        <v>102</v>
      </c>
      <c r="J623" s="108">
        <f t="shared" si="50"/>
        <v>9.3132257461547852E-10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882</v>
      </c>
      <c r="G624" s="108">
        <f>H51</f>
        <v>1138525.1200000001</v>
      </c>
      <c r="H624" s="108">
        <f>H476</f>
        <v>1138525.120000001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883</v>
      </c>
      <c r="G625" s="108">
        <f>I51</f>
        <v>221785.81000000006</v>
      </c>
      <c r="H625" s="108">
        <f>I476</f>
        <v>221785.81000000052</v>
      </c>
      <c r="I625" s="120" t="s">
        <v>104</v>
      </c>
      <c r="J625" s="108">
        <f t="shared" si="50"/>
        <v>-4.6566128730773926E-10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884</v>
      </c>
      <c r="G626" s="108">
        <f>J51</f>
        <v>7985310.1800000006</v>
      </c>
      <c r="H626" s="108">
        <f>J476</f>
        <v>7985310.1799999969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661</v>
      </c>
      <c r="G627" s="108">
        <f>F193</f>
        <v>151505479</v>
      </c>
      <c r="H627" s="103">
        <f>SUM(F468)</f>
        <v>151505479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662</v>
      </c>
      <c r="G628" s="108">
        <f>G193</f>
        <v>4852814.08</v>
      </c>
      <c r="H628" s="103">
        <f>SUM(G468)</f>
        <v>4852814.08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663</v>
      </c>
      <c r="G629" s="108">
        <f>H193</f>
        <v>10095257.709999999</v>
      </c>
      <c r="H629" s="103">
        <f>SUM(H468)</f>
        <v>10095257.710000001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664</v>
      </c>
      <c r="G630" s="108">
        <f>I193</f>
        <v>1046699.15</v>
      </c>
      <c r="H630" s="103">
        <f>SUM(I468)</f>
        <v>1046699.15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665</v>
      </c>
      <c r="G631" s="108">
        <f>J193</f>
        <v>851575.37</v>
      </c>
      <c r="H631" s="103">
        <f>SUM(J468)</f>
        <v>851575.37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394</v>
      </c>
      <c r="G632" s="108">
        <f>SUM(L271)</f>
        <v>151505479</v>
      </c>
      <c r="H632" s="103">
        <f>SUM(F472)</f>
        <v>151505479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395</v>
      </c>
      <c r="G633" s="108">
        <f>SUM(L352)</f>
        <v>9772907.0399999991</v>
      </c>
      <c r="H633" s="103">
        <f>SUM(H472)</f>
        <v>9772907.0399999972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2189890</v>
      </c>
      <c r="H634" s="103">
        <f>I369</f>
        <v>2189889.9999999995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8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4817746.09</v>
      </c>
      <c r="H635" s="103">
        <f>SUM(G472)</f>
        <v>4817746.0900000017</v>
      </c>
      <c r="I635" s="139" t="s">
        <v>114</v>
      </c>
      <c r="J635" s="108">
        <f t="shared" si="50"/>
        <v>0</v>
      </c>
      <c r="K635" s="84"/>
      <c r="L635" s="87"/>
      <c r="M635" s="167"/>
    </row>
    <row r="636" spans="1:13" s="168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3671610.23</v>
      </c>
      <c r="H636" s="103">
        <f>SUM(I472)</f>
        <v>3671610.23</v>
      </c>
      <c r="I636" s="139" t="s">
        <v>116</v>
      </c>
      <c r="J636" s="108">
        <f t="shared" si="50"/>
        <v>0</v>
      </c>
      <c r="K636" s="84"/>
      <c r="L636" s="87"/>
      <c r="M636" s="167"/>
    </row>
    <row r="637" spans="1:13" s="3" customFormat="1" ht="12" customHeight="1" x14ac:dyDescent="0.15">
      <c r="A637" s="160"/>
      <c r="B637" s="161"/>
      <c r="C637" s="161"/>
      <c r="D637" s="161"/>
      <c r="E637" s="161"/>
      <c r="F637" s="162" t="s">
        <v>477</v>
      </c>
      <c r="G637" s="150">
        <f>SUM(L408)</f>
        <v>851575.37000000011</v>
      </c>
      <c r="H637" s="163">
        <f>SUM(J468)</f>
        <v>851575.37</v>
      </c>
      <c r="I637" s="164" t="s">
        <v>110</v>
      </c>
      <c r="J637" s="150">
        <f t="shared" si="50"/>
        <v>0</v>
      </c>
      <c r="K637" s="165"/>
      <c r="L637" s="166"/>
      <c r="M637" s="8"/>
    </row>
    <row r="638" spans="1:13" s="3" customFormat="1" ht="12" customHeight="1" x14ac:dyDescent="0.15">
      <c r="A638" s="160"/>
      <c r="B638" s="161"/>
      <c r="C638" s="161"/>
      <c r="D638" s="161"/>
      <c r="E638" s="161"/>
      <c r="F638" s="162" t="s">
        <v>478</v>
      </c>
      <c r="G638" s="150">
        <f>SUM(L434)</f>
        <v>1631876.8800000004</v>
      </c>
      <c r="H638" s="163">
        <f>SUM(J472)</f>
        <v>1631876.88</v>
      </c>
      <c r="I638" s="164" t="s">
        <v>117</v>
      </c>
      <c r="J638" s="150">
        <f t="shared" si="50"/>
        <v>0</v>
      </c>
      <c r="K638" s="165"/>
      <c r="L638" s="166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963618.36</v>
      </c>
      <c r="H639" s="103">
        <f>SUM(F461)</f>
        <v>963618.36</v>
      </c>
      <c r="I639" s="139" t="s">
        <v>856</v>
      </c>
      <c r="J639" s="108">
        <f t="shared" si="50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1149590.7</v>
      </c>
      <c r="H640" s="103">
        <f>SUM(G461)</f>
        <v>1149590.7</v>
      </c>
      <c r="I640" s="139" t="s">
        <v>857</v>
      </c>
      <c r="J640" s="108">
        <f t="shared" si="50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6008028.2199999997</v>
      </c>
      <c r="H641" s="103">
        <f>SUM(H461)</f>
        <v>6008028.2200000007</v>
      </c>
      <c r="I641" s="139" t="s">
        <v>858</v>
      </c>
      <c r="J641" s="108">
        <f t="shared" si="50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8121237.2799999993</v>
      </c>
      <c r="H642" s="103">
        <f>SUM(I461)</f>
        <v>8121237.2800000003</v>
      </c>
      <c r="I642" s="139" t="s">
        <v>859</v>
      </c>
      <c r="J642" s="108">
        <f t="shared" si="50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479</v>
      </c>
      <c r="J643" s="108">
        <f t="shared" si="50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666</v>
      </c>
      <c r="G644" s="108">
        <f>J96</f>
        <v>541039.97</v>
      </c>
      <c r="H644" s="103">
        <f>H408</f>
        <v>541039.97000000009</v>
      </c>
      <c r="I644" s="139" t="s">
        <v>480</v>
      </c>
      <c r="J644" s="108">
        <f t="shared" si="50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667</v>
      </c>
      <c r="G645" s="108">
        <f>J183</f>
        <v>0</v>
      </c>
      <c r="H645" s="103">
        <f>G408</f>
        <v>0</v>
      </c>
      <c r="I645" s="139" t="s">
        <v>481</v>
      </c>
      <c r="J645" s="108">
        <f t="shared" si="50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665</v>
      </c>
      <c r="G646" s="108">
        <f>J193</f>
        <v>851575.37</v>
      </c>
      <c r="H646" s="103">
        <f>L408</f>
        <v>851575.37000000011</v>
      </c>
      <c r="I646" s="139" t="s">
        <v>477</v>
      </c>
      <c r="J646" s="108">
        <f t="shared" si="50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6766724.9099999992</v>
      </c>
      <c r="H647" s="103">
        <f>L208+L226+L244</f>
        <v>6766724.9100000001</v>
      </c>
      <c r="I647" s="139" t="s">
        <v>396</v>
      </c>
      <c r="J647" s="108">
        <f t="shared" si="50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2164795.63</v>
      </c>
      <c r="H648" s="103">
        <f>(J257+J338)-(J255+J336)</f>
        <v>2164795.63</v>
      </c>
      <c r="I648" s="139" t="s">
        <v>702</v>
      </c>
      <c r="J648" s="108">
        <f t="shared" si="50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387</v>
      </c>
      <c r="G649" s="108">
        <f>L208</f>
        <v>2731726.84</v>
      </c>
      <c r="H649" s="103">
        <f>H598</f>
        <v>2731726.84</v>
      </c>
      <c r="I649" s="139" t="s">
        <v>388</v>
      </c>
      <c r="J649" s="108">
        <f t="shared" si="50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392</v>
      </c>
      <c r="G650" s="108">
        <f>L226</f>
        <v>1765438.5200000003</v>
      </c>
      <c r="H650" s="103">
        <f>I598</f>
        <v>1765438.52</v>
      </c>
      <c r="I650" s="139" t="s">
        <v>389</v>
      </c>
      <c r="J650" s="108">
        <f t="shared" si="50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393</v>
      </c>
      <c r="G651" s="108">
        <f>L244</f>
        <v>2269559.5499999998</v>
      </c>
      <c r="H651" s="103">
        <f>J598</f>
        <v>2269559.5500000007</v>
      </c>
      <c r="I651" s="139" t="s">
        <v>390</v>
      </c>
      <c r="J651" s="108">
        <f t="shared" si="50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668</v>
      </c>
      <c r="G652" s="108">
        <f>G179</f>
        <v>0</v>
      </c>
      <c r="H652" s="103">
        <f>K263+K345</f>
        <v>0</v>
      </c>
      <c r="I652" s="139" t="s">
        <v>397</v>
      </c>
      <c r="J652" s="108">
        <f t="shared" si="50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669</v>
      </c>
      <c r="G653" s="108">
        <f>H179</f>
        <v>0</v>
      </c>
      <c r="H653" s="103">
        <f>K264</f>
        <v>0</v>
      </c>
      <c r="I653" s="139" t="s">
        <v>398</v>
      </c>
      <c r="J653" s="108">
        <f t="shared" si="50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670</v>
      </c>
      <c r="G654" s="108">
        <f>I179</f>
        <v>0</v>
      </c>
      <c r="H654" s="103">
        <f>K265+K346</f>
        <v>0</v>
      </c>
      <c r="I654" s="139" t="s">
        <v>399</v>
      </c>
      <c r="J654" s="108">
        <f t="shared" si="50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671</v>
      </c>
      <c r="G655" s="108">
        <f>J179+J181</f>
        <v>0</v>
      </c>
      <c r="H655" s="103">
        <f>K266+K347</f>
        <v>0</v>
      </c>
      <c r="I655" s="139" t="s">
        <v>400</v>
      </c>
      <c r="J655" s="108">
        <f t="shared" si="50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1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70656359.829999998</v>
      </c>
      <c r="G660" s="19">
        <f>(L229+L309+L359)</f>
        <v>34362449.630000003</v>
      </c>
      <c r="H660" s="19">
        <f>(L247+L328+L360)</f>
        <v>49553519.480000004</v>
      </c>
      <c r="I660" s="19">
        <f>SUM(F660:H660)</f>
        <v>154572328.94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802675.41765335668</v>
      </c>
      <c r="G661" s="19">
        <f>(L359/IF(SUM(L358:L360)=0,1,SUM(L358:L360))*(SUM(G97:G110)))</f>
        <v>429739.72865586489</v>
      </c>
      <c r="H661" s="19">
        <f>(L360/IF(SUM(L358:L360)=0,1,SUM(L358:L360))*(SUM(G97:G110)))</f>
        <v>641644.43369077845</v>
      </c>
      <c r="I661" s="19">
        <f>SUM(F661:H661)</f>
        <v>1874059.58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2745337.44</v>
      </c>
      <c r="G662" s="19">
        <f>(L226+L306)-(J226+J306)</f>
        <v>1769114.5200000003</v>
      </c>
      <c r="H662" s="19">
        <f>(L244+L325)-(J244+J325)</f>
        <v>2282046.36</v>
      </c>
      <c r="I662" s="19">
        <f>SUM(F662:H662)</f>
        <v>6796498.3200000003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8"/>
      <c r="C663" s="168"/>
      <c r="D663" s="168"/>
      <c r="E663" s="168"/>
      <c r="F663" s="198">
        <f>SUM(F575:F587)+SUM(H602:H604)+SUM(L611)</f>
        <v>1614554.2</v>
      </c>
      <c r="G663" s="198">
        <f>SUM(G575:G587)+SUM(I602:I604)+L612</f>
        <v>1815461.6799999997</v>
      </c>
      <c r="H663" s="198">
        <f>SUM(H575:H587)+SUM(J602:J604)+L613</f>
        <v>4482061.8699999973</v>
      </c>
      <c r="I663" s="19">
        <f>SUM(F663:H663)</f>
        <v>7912077.7499999972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65493792.772346646</v>
      </c>
      <c r="G664" s="19">
        <f>G660-SUM(G661:G663)</f>
        <v>30348133.70134414</v>
      </c>
      <c r="H664" s="19">
        <f>H660-SUM(H661:H663)</f>
        <v>42147766.816309229</v>
      </c>
      <c r="I664" s="19">
        <f>I660-SUM(I661:I663)</f>
        <v>137989693.28999999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f>141.44+527.99+4342.23</f>
        <v>5011.66</v>
      </c>
      <c r="G665" s="247">
        <v>2353.9899999999998</v>
      </c>
      <c r="H665" s="247">
        <v>3487.73</v>
      </c>
      <c r="I665" s="19">
        <f>SUM(F665:H665)</f>
        <v>10853.38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13068.28</v>
      </c>
      <c r="G667" s="19">
        <f>ROUND(G664/G665,2)</f>
        <v>12892.21</v>
      </c>
      <c r="H667" s="19">
        <f>ROUND(H664/H665,2)</f>
        <v>12084.58</v>
      </c>
      <c r="I667" s="19">
        <f>ROUND(I664/I665,2)</f>
        <v>12713.98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18.27</v>
      </c>
      <c r="I670" s="19">
        <f>SUM(F670:H670)</f>
        <v>18.27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13068.28</v>
      </c>
      <c r="G672" s="19">
        <f>ROUND((G664+G669)/(G665+G670),2)</f>
        <v>12892.21</v>
      </c>
      <c r="H672" s="19">
        <f>ROUND((H664+H669)/(H665+H670),2)</f>
        <v>12021.61</v>
      </c>
      <c r="I672" s="19">
        <f>ROUND((I664+I669)/(I665+I670),2)</f>
        <v>12692.62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784</v>
      </c>
      <c r="B1" s="231" t="str">
        <f>'DOE25'!A2</f>
        <v>NASHUA SCHOOL DISTRICT</v>
      </c>
      <c r="C1" s="237" t="s">
        <v>838</v>
      </c>
    </row>
    <row r="2" spans="1:3" x14ac:dyDescent="0.2">
      <c r="A2" s="232"/>
      <c r="B2" s="231"/>
    </row>
    <row r="3" spans="1:3" x14ac:dyDescent="0.2">
      <c r="A3" s="275" t="s">
        <v>783</v>
      </c>
      <c r="B3" s="275"/>
      <c r="C3" s="275"/>
    </row>
    <row r="4" spans="1:3" x14ac:dyDescent="0.2">
      <c r="A4" s="235"/>
      <c r="B4" s="236" t="str">
        <f>'DOE25'!H1</f>
        <v>DOE 25  2016-2017</v>
      </c>
      <c r="C4" s="235"/>
    </row>
    <row r="5" spans="1:3" x14ac:dyDescent="0.2">
      <c r="A5" s="232"/>
      <c r="B5" s="231"/>
    </row>
    <row r="6" spans="1:3" x14ac:dyDescent="0.2">
      <c r="A6" s="226"/>
      <c r="B6" s="274" t="s">
        <v>782</v>
      </c>
      <c r="C6" s="274"/>
    </row>
    <row r="7" spans="1:3" x14ac:dyDescent="0.2">
      <c r="A7" s="238" t="s">
        <v>785</v>
      </c>
      <c r="B7" s="272" t="s">
        <v>781</v>
      </c>
      <c r="C7" s="273"/>
    </row>
    <row r="8" spans="1:3" x14ac:dyDescent="0.2">
      <c r="B8" s="227" t="s">
        <v>54</v>
      </c>
      <c r="C8" s="227" t="s">
        <v>775</v>
      </c>
    </row>
    <row r="9" spans="1:3" x14ac:dyDescent="0.2">
      <c r="A9" s="33" t="s">
        <v>776</v>
      </c>
      <c r="B9" s="228">
        <f>'DOE25'!F197+'DOE25'!F215+'DOE25'!F233+'DOE25'!F276+'DOE25'!F295+'DOE25'!F314</f>
        <v>38789659.390000001</v>
      </c>
      <c r="C9" s="228">
        <f>'DOE25'!G197+'DOE25'!G215+'DOE25'!G233+'DOE25'!G276+'DOE25'!G295+'DOE25'!G314</f>
        <v>16797256.709999997</v>
      </c>
    </row>
    <row r="10" spans="1:3" x14ac:dyDescent="0.2">
      <c r="A10" t="s">
        <v>778</v>
      </c>
      <c r="B10" s="239">
        <v>37479567.710000001</v>
      </c>
      <c r="C10" s="239">
        <v>16229941.939999999</v>
      </c>
    </row>
    <row r="11" spans="1:3" x14ac:dyDescent="0.2">
      <c r="A11" t="s">
        <v>779</v>
      </c>
      <c r="B11" s="239">
        <v>717055.68</v>
      </c>
      <c r="C11" s="239">
        <v>310509.78000000003</v>
      </c>
    </row>
    <row r="12" spans="1:3" x14ac:dyDescent="0.2">
      <c r="A12" t="s">
        <v>780</v>
      </c>
      <c r="B12" s="239">
        <v>593036</v>
      </c>
      <c r="C12" s="239">
        <v>256804.99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38789659.390000001</v>
      </c>
      <c r="C13" s="230">
        <f>SUM(C10:C12)</f>
        <v>16797256.709999997</v>
      </c>
    </row>
    <row r="14" spans="1:3" x14ac:dyDescent="0.2">
      <c r="B14" s="229"/>
      <c r="C14" s="229"/>
    </row>
    <row r="15" spans="1:3" x14ac:dyDescent="0.2">
      <c r="B15" s="274" t="s">
        <v>782</v>
      </c>
      <c r="C15" s="274"/>
    </row>
    <row r="16" spans="1:3" x14ac:dyDescent="0.2">
      <c r="A16" s="238" t="s">
        <v>786</v>
      </c>
      <c r="B16" s="272" t="s">
        <v>706</v>
      </c>
      <c r="C16" s="273"/>
    </row>
    <row r="17" spans="1:3" x14ac:dyDescent="0.2">
      <c r="B17" s="227" t="s">
        <v>54</v>
      </c>
      <c r="C17" s="227" t="s">
        <v>775</v>
      </c>
    </row>
    <row r="18" spans="1:3" x14ac:dyDescent="0.2">
      <c r="A18" s="33" t="s">
        <v>776</v>
      </c>
      <c r="B18" s="228">
        <f>'DOE25'!F198+'DOE25'!F216+'DOE25'!F234+'DOE25'!F277+'DOE25'!F296+'DOE25'!F315</f>
        <v>18079330.210000001</v>
      </c>
      <c r="C18" s="228">
        <f>'DOE25'!G198+'DOE25'!G216+'DOE25'!G234+'DOE25'!G277+'DOE25'!G296+'DOE25'!G315</f>
        <v>6193799.9099999992</v>
      </c>
    </row>
    <row r="19" spans="1:3" x14ac:dyDescent="0.2">
      <c r="A19" t="s">
        <v>778</v>
      </c>
      <c r="B19" s="239">
        <v>10508597.449999999</v>
      </c>
      <c r="C19" s="239">
        <v>3600141.67</v>
      </c>
    </row>
    <row r="20" spans="1:3" x14ac:dyDescent="0.2">
      <c r="A20" t="s">
        <v>779</v>
      </c>
      <c r="B20" s="239">
        <v>6849563.9100000001</v>
      </c>
      <c r="C20" s="239">
        <v>2346592.92</v>
      </c>
    </row>
    <row r="21" spans="1:3" x14ac:dyDescent="0.2">
      <c r="A21" t="s">
        <v>780</v>
      </c>
      <c r="B21" s="239">
        <v>721168.85</v>
      </c>
      <c r="C21" s="239">
        <v>247065.32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18079330.210000001</v>
      </c>
      <c r="C22" s="230">
        <f>SUM(C19:C21)</f>
        <v>6193799.9100000001</v>
      </c>
    </row>
    <row r="23" spans="1:3" x14ac:dyDescent="0.2">
      <c r="B23" s="229"/>
      <c r="C23" s="229"/>
    </row>
    <row r="24" spans="1:3" x14ac:dyDescent="0.2">
      <c r="B24" s="274" t="s">
        <v>782</v>
      </c>
      <c r="C24" s="274"/>
    </row>
    <row r="25" spans="1:3" x14ac:dyDescent="0.2">
      <c r="A25" s="238" t="s">
        <v>787</v>
      </c>
      <c r="B25" s="272" t="s">
        <v>707</v>
      </c>
      <c r="C25" s="273"/>
    </row>
    <row r="26" spans="1:3" x14ac:dyDescent="0.2">
      <c r="B26" s="227" t="s">
        <v>54</v>
      </c>
      <c r="C26" s="227" t="s">
        <v>775</v>
      </c>
    </row>
    <row r="27" spans="1:3" x14ac:dyDescent="0.2">
      <c r="A27" s="33" t="s">
        <v>776</v>
      </c>
      <c r="B27" s="233">
        <f>'DOE25'!F199+'DOE25'!F217+'DOE25'!F235+'DOE25'!F278+'DOE25'!F297+'DOE25'!F316</f>
        <v>3351092.6100000003</v>
      </c>
      <c r="C27" s="233">
        <f>'DOE25'!G199+'DOE25'!G217+'DOE25'!G235+'DOE25'!G278+'DOE25'!G297+'DOE25'!G316</f>
        <v>1450773.84</v>
      </c>
    </row>
    <row r="28" spans="1:3" x14ac:dyDescent="0.2">
      <c r="A28" t="s">
        <v>778</v>
      </c>
      <c r="B28" s="239">
        <v>3279046.41</v>
      </c>
      <c r="C28" s="239">
        <v>1419583.19</v>
      </c>
    </row>
    <row r="29" spans="1:3" x14ac:dyDescent="0.2">
      <c r="A29" t="s">
        <v>779</v>
      </c>
      <c r="B29" s="239">
        <v>59858.94</v>
      </c>
      <c r="C29" s="239">
        <v>25914.47</v>
      </c>
    </row>
    <row r="30" spans="1:3" x14ac:dyDescent="0.2">
      <c r="A30" t="s">
        <v>780</v>
      </c>
      <c r="B30" s="239">
        <v>12187.26</v>
      </c>
      <c r="C30" s="239">
        <v>5276.18</v>
      </c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3351092.61</v>
      </c>
      <c r="C31" s="230">
        <f>SUM(C28:C30)</f>
        <v>1450773.8399999999</v>
      </c>
    </row>
    <row r="33" spans="1:3" x14ac:dyDescent="0.2">
      <c r="B33" s="274" t="s">
        <v>782</v>
      </c>
      <c r="C33" s="274"/>
    </row>
    <row r="34" spans="1:3" x14ac:dyDescent="0.2">
      <c r="A34" s="238" t="s">
        <v>788</v>
      </c>
      <c r="B34" s="272" t="s">
        <v>708</v>
      </c>
      <c r="C34" s="273"/>
    </row>
    <row r="35" spans="1:3" x14ac:dyDescent="0.2">
      <c r="B35" s="227" t="s">
        <v>54</v>
      </c>
      <c r="C35" s="227" t="s">
        <v>775</v>
      </c>
    </row>
    <row r="36" spans="1:3" x14ac:dyDescent="0.2">
      <c r="A36" s="33" t="s">
        <v>776</v>
      </c>
      <c r="B36" s="234">
        <f>'DOE25'!F200+'DOE25'!F218+'DOE25'!F236+'DOE25'!F279+'DOE25'!F298+'DOE25'!F317</f>
        <v>1164399.79</v>
      </c>
      <c r="C36" s="234">
        <f>'DOE25'!G200+'DOE25'!G218+'DOE25'!G236+'DOE25'!G279+'DOE25'!G298+'DOE25'!G317</f>
        <v>203546.40000000002</v>
      </c>
    </row>
    <row r="37" spans="1:3" x14ac:dyDescent="0.2">
      <c r="A37" t="s">
        <v>778</v>
      </c>
      <c r="B37" s="239">
        <v>490129.49</v>
      </c>
      <c r="C37" s="239">
        <v>85678.55</v>
      </c>
    </row>
    <row r="38" spans="1:3" x14ac:dyDescent="0.2">
      <c r="A38" t="s">
        <v>779</v>
      </c>
      <c r="B38" s="239">
        <v>90547.38</v>
      </c>
      <c r="C38" s="239">
        <v>15828.41</v>
      </c>
    </row>
    <row r="39" spans="1:3" x14ac:dyDescent="0.2">
      <c r="A39" t="s">
        <v>780</v>
      </c>
      <c r="B39" s="239">
        <v>583722.92000000004</v>
      </c>
      <c r="C39" s="239">
        <v>102039.44</v>
      </c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1164399.79</v>
      </c>
      <c r="C40" s="230">
        <f>SUM(C37:C39)</f>
        <v>203546.40000000002</v>
      </c>
    </row>
    <row r="41" spans="1:3" x14ac:dyDescent="0.2">
      <c r="B41" s="229"/>
      <c r="C41" s="229"/>
    </row>
    <row r="42" spans="1:3" x14ac:dyDescent="0.2">
      <c r="A42" s="33" t="s">
        <v>836</v>
      </c>
      <c r="B42" s="229"/>
      <c r="C42" s="229"/>
    </row>
    <row r="43" spans="1:3" x14ac:dyDescent="0.2">
      <c r="A43" t="s">
        <v>840</v>
      </c>
      <c r="B43" s="229"/>
      <c r="C43" s="229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3" t="s">
        <v>777</v>
      </c>
    </row>
    <row r="49" spans="1:1" x14ac:dyDescent="0.2">
      <c r="A49" s="267" t="s">
        <v>843</v>
      </c>
    </row>
    <row r="50" spans="1:1" x14ac:dyDescent="0.2">
      <c r="A50" s="267" t="s">
        <v>837</v>
      </c>
    </row>
    <row r="51" spans="1:1" x14ac:dyDescent="0.2">
      <c r="A51" s="267" t="s">
        <v>844</v>
      </c>
    </row>
    <row r="52" spans="1:1" x14ac:dyDescent="0.2">
      <c r="A52" s="268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789</v>
      </c>
      <c r="B1" s="279"/>
      <c r="C1" s="279"/>
      <c r="D1" s="279"/>
      <c r="E1" s="279"/>
      <c r="F1" s="279"/>
      <c r="G1" s="279"/>
      <c r="H1" s="279"/>
      <c r="I1" s="180"/>
    </row>
    <row r="2" spans="1:9" x14ac:dyDescent="0.2">
      <c r="A2" s="33" t="s">
        <v>716</v>
      </c>
      <c r="B2" s="264" t="str">
        <f>'DOE25'!A2</f>
        <v>NASHUA SCHOOL DISTRICT</v>
      </c>
      <c r="C2" s="180"/>
      <c r="D2" s="180" t="s">
        <v>791</v>
      </c>
      <c r="E2" s="180" t="s">
        <v>793</v>
      </c>
      <c r="F2" s="276" t="s">
        <v>820</v>
      </c>
      <c r="G2" s="277"/>
      <c r="H2" s="278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792</v>
      </c>
      <c r="E3" s="180" t="s">
        <v>794</v>
      </c>
      <c r="F3" s="240" t="s">
        <v>834</v>
      </c>
      <c r="G3" s="216" t="s">
        <v>59</v>
      </c>
      <c r="H3" s="241" t="s">
        <v>797</v>
      </c>
    </row>
    <row r="4" spans="1:9" x14ac:dyDescent="0.2">
      <c r="A4" s="250" t="s">
        <v>799</v>
      </c>
      <c r="B4" s="250" t="s">
        <v>815</v>
      </c>
      <c r="C4" s="250" t="s">
        <v>790</v>
      </c>
      <c r="D4" s="250" t="s">
        <v>816</v>
      </c>
      <c r="E4" s="250" t="s">
        <v>816</v>
      </c>
      <c r="F4" s="249" t="s">
        <v>796</v>
      </c>
      <c r="G4" s="250" t="s">
        <v>810</v>
      </c>
      <c r="H4" s="251" t="s">
        <v>798</v>
      </c>
    </row>
    <row r="5" spans="1:9" x14ac:dyDescent="0.2">
      <c r="A5" s="32">
        <v>1000</v>
      </c>
      <c r="B5" t="s">
        <v>195</v>
      </c>
      <c r="C5" s="244">
        <f t="shared" ref="C5:C19" si="0">SUM(D5:H5)</f>
        <v>88784604.939999998</v>
      </c>
      <c r="D5" s="20">
        <f>SUM('DOE25'!L197:L200)+SUM('DOE25'!L215:L218)+SUM('DOE25'!L233:L236)-F5-G5</f>
        <v>88740377.939999998</v>
      </c>
      <c r="E5" s="242"/>
      <c r="F5" s="254">
        <f>SUM('DOE25'!J197:J200)+SUM('DOE25'!J215:J218)+SUM('DOE25'!J233:J236)</f>
        <v>255868.83</v>
      </c>
      <c r="G5" s="53">
        <f>SUM('DOE25'!K197:K200)+SUM('DOE25'!K215:K218)+SUM('DOE25'!K233:K236)</f>
        <v>-211641.83</v>
      </c>
      <c r="H5" s="258"/>
    </row>
    <row r="6" spans="1:9" x14ac:dyDescent="0.2">
      <c r="A6" s="32">
        <v>2100</v>
      </c>
      <c r="B6" t="s">
        <v>800</v>
      </c>
      <c r="C6" s="244">
        <f t="shared" si="0"/>
        <v>12921170.260000002</v>
      </c>
      <c r="D6" s="20">
        <f>'DOE25'!L202+'DOE25'!L220+'DOE25'!L238-F6-G6</f>
        <v>12909434.630000001</v>
      </c>
      <c r="E6" s="242"/>
      <c r="F6" s="254">
        <f>'DOE25'!J202+'DOE25'!J220+'DOE25'!J238</f>
        <v>11735.630000000001</v>
      </c>
      <c r="G6" s="53">
        <f>'DOE25'!K202+'DOE25'!K220+'DOE25'!K238</f>
        <v>0</v>
      </c>
      <c r="H6" s="258"/>
    </row>
    <row r="7" spans="1:9" x14ac:dyDescent="0.2">
      <c r="A7" s="32">
        <v>2200</v>
      </c>
      <c r="B7" t="s">
        <v>833</v>
      </c>
      <c r="C7" s="244">
        <f t="shared" si="0"/>
        <v>5175489.66</v>
      </c>
      <c r="D7" s="20">
        <f>'DOE25'!L203+'DOE25'!L221+'DOE25'!L239-F7-G7</f>
        <v>4277613.7200000007</v>
      </c>
      <c r="E7" s="242"/>
      <c r="F7" s="254">
        <f>'DOE25'!J203+'DOE25'!J221+'DOE25'!J239</f>
        <v>897875.94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801</v>
      </c>
      <c r="C8" s="244">
        <f t="shared" si="0"/>
        <v>2687943.7999999993</v>
      </c>
      <c r="D8" s="242"/>
      <c r="E8" s="20">
        <f>'DOE25'!L204+'DOE25'!L222+'DOE25'!L240-F8-G8-D9-D11</f>
        <v>2587325.0799999996</v>
      </c>
      <c r="F8" s="254">
        <f>'DOE25'!J204+'DOE25'!J222+'DOE25'!J240</f>
        <v>3394.17</v>
      </c>
      <c r="G8" s="53">
        <f>'DOE25'!K204+'DOE25'!K222+'DOE25'!K240</f>
        <v>97224.55</v>
      </c>
      <c r="H8" s="258"/>
    </row>
    <row r="9" spans="1:9" x14ac:dyDescent="0.2">
      <c r="A9" s="32">
        <v>2310</v>
      </c>
      <c r="B9" t="s">
        <v>817</v>
      </c>
      <c r="C9" s="244">
        <f t="shared" si="0"/>
        <v>80714.789999999994</v>
      </c>
      <c r="D9" s="243">
        <v>80714.789999999994</v>
      </c>
      <c r="E9" s="242"/>
      <c r="F9" s="257"/>
      <c r="G9" s="255"/>
      <c r="H9" s="258"/>
    </row>
    <row r="10" spans="1:9" x14ac:dyDescent="0.2">
      <c r="A10" s="32">
        <v>2317</v>
      </c>
      <c r="B10" t="s">
        <v>818</v>
      </c>
      <c r="C10" s="244">
        <f t="shared" si="0"/>
        <v>20594</v>
      </c>
      <c r="D10" s="242"/>
      <c r="E10" s="243">
        <v>20594</v>
      </c>
      <c r="F10" s="257"/>
      <c r="G10" s="255"/>
      <c r="H10" s="258"/>
    </row>
    <row r="11" spans="1:9" x14ac:dyDescent="0.2">
      <c r="A11" s="32">
        <v>2321</v>
      </c>
      <c r="B11" t="s">
        <v>830</v>
      </c>
      <c r="C11" s="244">
        <f t="shared" si="0"/>
        <v>563626.87</v>
      </c>
      <c r="D11" s="243">
        <v>563626.87</v>
      </c>
      <c r="E11" s="242"/>
      <c r="F11" s="257"/>
      <c r="G11" s="255"/>
      <c r="H11" s="258"/>
    </row>
    <row r="12" spans="1:9" x14ac:dyDescent="0.2">
      <c r="A12" s="32">
        <v>2400</v>
      </c>
      <c r="B12" t="s">
        <v>714</v>
      </c>
      <c r="C12" s="244">
        <f t="shared" si="0"/>
        <v>7290116.5999999996</v>
      </c>
      <c r="D12" s="20">
        <f>'DOE25'!L205+'DOE25'!L223+'DOE25'!L241-F12-G12</f>
        <v>7289153.0999999996</v>
      </c>
      <c r="E12" s="242"/>
      <c r="F12" s="254">
        <f>'DOE25'!J205+'DOE25'!J223+'DOE25'!J241</f>
        <v>963.5</v>
      </c>
      <c r="G12" s="53">
        <f>'DOE25'!K205+'DOE25'!K223+'DOE25'!K241</f>
        <v>0</v>
      </c>
      <c r="H12" s="258"/>
    </row>
    <row r="13" spans="1:9" x14ac:dyDescent="0.2">
      <c r="A13" s="32">
        <v>2500</v>
      </c>
      <c r="B13" t="s">
        <v>802</v>
      </c>
      <c r="C13" s="244">
        <f t="shared" si="0"/>
        <v>1007374.3</v>
      </c>
      <c r="D13" s="242"/>
      <c r="E13" s="20">
        <f>'DOE25'!L206+'DOE25'!L224+'DOE25'!L242-F13-G13</f>
        <v>1007374.3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831</v>
      </c>
      <c r="C14" s="244">
        <f t="shared" si="0"/>
        <v>14458374.68</v>
      </c>
      <c r="D14" s="20">
        <f>'DOE25'!L207+'DOE25'!L225+'DOE25'!L243-F14-G14</f>
        <v>14578814.18</v>
      </c>
      <c r="E14" s="242"/>
      <c r="F14" s="254">
        <f>'DOE25'!J207+'DOE25'!J225+'DOE25'!J243</f>
        <v>43294</v>
      </c>
      <c r="G14" s="53">
        <f>'DOE25'!K207+'DOE25'!K225+'DOE25'!K243</f>
        <v>-163733.5</v>
      </c>
      <c r="H14" s="258"/>
    </row>
    <row r="15" spans="1:9" x14ac:dyDescent="0.2">
      <c r="A15" s="32">
        <v>2700</v>
      </c>
      <c r="B15" t="s">
        <v>803</v>
      </c>
      <c r="C15" s="244">
        <f t="shared" si="0"/>
        <v>6766724.9100000001</v>
      </c>
      <c r="D15" s="20">
        <f>'DOE25'!L208+'DOE25'!L226+'DOE25'!L244-F15-G15</f>
        <v>6766724.9100000001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804</v>
      </c>
      <c r="C16" s="244">
        <f t="shared" si="0"/>
        <v>529765.62</v>
      </c>
      <c r="D16" s="242"/>
      <c r="E16" s="20">
        <f>'DOE25'!L209+'DOE25'!L227+'DOE25'!L245-F16-G16</f>
        <v>529765.62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805</v>
      </c>
      <c r="C17" s="244">
        <f t="shared" si="0"/>
        <v>112169.57</v>
      </c>
      <c r="D17" s="20">
        <f>'DOE25'!L251-F17-G17</f>
        <v>112169.57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806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807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795</v>
      </c>
      <c r="F21" s="259"/>
      <c r="G21" s="52"/>
      <c r="H21" s="260"/>
    </row>
    <row r="22" spans="1:8" x14ac:dyDescent="0.2">
      <c r="A22" s="32">
        <v>4000</v>
      </c>
      <c r="B22" t="s">
        <v>832</v>
      </c>
      <c r="C22" s="244">
        <f>SUM(D22:H22)</f>
        <v>200403</v>
      </c>
      <c r="D22" s="242"/>
      <c r="E22" s="242"/>
      <c r="F22" s="254">
        <f>'DOE25'!L255+'DOE25'!L336</f>
        <v>200403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463</v>
      </c>
      <c r="F24" s="259"/>
      <c r="G24" s="52"/>
      <c r="H24" s="260"/>
    </row>
    <row r="25" spans="1:8" x14ac:dyDescent="0.2">
      <c r="A25" s="32" t="s">
        <v>808</v>
      </c>
      <c r="B25" t="s">
        <v>809</v>
      </c>
      <c r="C25" s="244">
        <f>SUM(D25:H25)</f>
        <v>10927000</v>
      </c>
      <c r="D25" s="242"/>
      <c r="E25" s="242"/>
      <c r="F25" s="257"/>
      <c r="G25" s="255"/>
      <c r="H25" s="256">
        <f>'DOE25'!L260+'DOE25'!L261+'DOE25'!L341+'DOE25'!L342</f>
        <v>10927000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811</v>
      </c>
      <c r="F27" s="259"/>
      <c r="G27" s="52"/>
      <c r="H27" s="260"/>
    </row>
    <row r="28" spans="1:8" x14ac:dyDescent="0.2">
      <c r="A28" s="32">
        <v>3100</v>
      </c>
      <c r="B28" t="s">
        <v>824</v>
      </c>
      <c r="F28" s="259"/>
      <c r="G28" s="52"/>
      <c r="H28" s="260"/>
    </row>
    <row r="29" spans="1:8" x14ac:dyDescent="0.2">
      <c r="A29" s="32"/>
      <c r="B29" t="s">
        <v>812</v>
      </c>
      <c r="C29" s="244">
        <f>SUM(D29:H29)</f>
        <v>2847659.49</v>
      </c>
      <c r="D29" s="20">
        <f>'DOE25'!L358+'DOE25'!L359+'DOE25'!L360-'DOE25'!I367-F29-G29</f>
        <v>2792322.58</v>
      </c>
      <c r="E29" s="242"/>
      <c r="F29" s="254">
        <f>'DOE25'!J358+'DOE25'!J359+'DOE25'!J360</f>
        <v>55336.91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826</v>
      </c>
      <c r="B31" t="s">
        <v>825</v>
      </c>
      <c r="C31" s="244">
        <f>SUM(D31:H31)</f>
        <v>9719723.0299999993</v>
      </c>
      <c r="D31" s="20">
        <f>'DOE25'!L290+'DOE25'!L309+'DOE25'!L328+'DOE25'!L333+'DOE25'!L334+'DOE25'!L335-F31-G31</f>
        <v>8303876.0399999991</v>
      </c>
      <c r="E31" s="242"/>
      <c r="F31" s="254">
        <f>'DOE25'!J290+'DOE25'!J309+'DOE25'!J328+'DOE25'!J333+'DOE25'!J334+'DOE25'!J335</f>
        <v>946583.56</v>
      </c>
      <c r="G31" s="53">
        <f>'DOE25'!K290+'DOE25'!K309+'DOE25'!K328+'DOE25'!K333+'DOE25'!K334+'DOE25'!K335</f>
        <v>469263.43000000005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813</v>
      </c>
      <c r="D33" s="245">
        <f>SUM(D5:D31)</f>
        <v>146414828.32999998</v>
      </c>
      <c r="E33" s="245">
        <f>SUM(E5:E31)</f>
        <v>4145059</v>
      </c>
      <c r="F33" s="245">
        <f>SUM(F5:F31)</f>
        <v>2415455.54</v>
      </c>
      <c r="G33" s="245">
        <f>SUM(G5:G31)</f>
        <v>191112.65000000008</v>
      </c>
      <c r="H33" s="245">
        <f>SUM(H5:H31)</f>
        <v>10927000</v>
      </c>
    </row>
    <row r="35" spans="2:8" ht="12" thickBot="1" x14ac:dyDescent="0.25">
      <c r="B35" s="252" t="s">
        <v>846</v>
      </c>
      <c r="D35" s="253">
        <f>E33</f>
        <v>4145059</v>
      </c>
      <c r="E35" s="248"/>
    </row>
    <row r="36" spans="2:8" ht="12" thickTop="1" x14ac:dyDescent="0.2">
      <c r="B36" t="s">
        <v>814</v>
      </c>
      <c r="D36" s="20">
        <f>D33</f>
        <v>146414828.32999998</v>
      </c>
    </row>
    <row r="38" spans="2:8" x14ac:dyDescent="0.2">
      <c r="B38" s="186" t="s">
        <v>907</v>
      </c>
      <c r="C38" s="265"/>
      <c r="D38" s="266"/>
    </row>
    <row r="39" spans="2:8" x14ac:dyDescent="0.2">
      <c r="B39" t="s">
        <v>823</v>
      </c>
      <c r="D39" s="180" t="str">
        <f>IF(E10&gt;0,"Y","N")</f>
        <v>Y</v>
      </c>
    </row>
    <row r="41" spans="2:8" x14ac:dyDescent="0.2">
      <c r="B41" s="263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52" activePane="bottomLeft" state="frozen"/>
      <selection activeCell="F46" sqref="F46"/>
      <selection pane="bottomLeft" activeCell="C57" sqref="C5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NASHUA SCHOOL DISTRICT</v>
      </c>
      <c r="B2" s="125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4"/>
      <c r="I2" s="124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3"/>
      <c r="I5" s="123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3"/>
      <c r="I6" s="123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2117560.7199999997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5917781.4199999999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0</v>
      </c>
      <c r="D11" s="94">
        <f>'DOE25'!G12</f>
        <v>336593.94</v>
      </c>
      <c r="E11" s="94">
        <f>'DOE25'!H12</f>
        <v>0</v>
      </c>
      <c r="F11" s="94">
        <f>'DOE25'!I12</f>
        <v>221785.81</v>
      </c>
      <c r="G11" s="94">
        <f>'DOE25'!J12</f>
        <v>85895.14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204158.12</v>
      </c>
      <c r="E12" s="94">
        <f>'DOE25'!H13</f>
        <v>3689776.26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552.5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4">
        <f>'DOE25'!I15</f>
        <v>0</v>
      </c>
      <c r="G14" s="24" t="s">
        <v>288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288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541304.56000000006</v>
      </c>
      <c r="E18" s="41">
        <f>SUM(E8:E17)</f>
        <v>3689776.26</v>
      </c>
      <c r="F18" s="41">
        <f>SUM(F8:F17)</f>
        <v>221785.81</v>
      </c>
      <c r="G18" s="41">
        <f>SUM(G8:G17)</f>
        <v>8121237.2799999993</v>
      </c>
      <c r="H18" s="123"/>
      <c r="I18" s="123"/>
    </row>
    <row r="19" spans="1:9" x14ac:dyDescent="0.2">
      <c r="A19" s="1" t="s">
        <v>302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2194991.63</v>
      </c>
      <c r="F21" s="94">
        <f>'DOE25'!I22</f>
        <v>0</v>
      </c>
      <c r="G21" s="94">
        <f>'DOE25'!J22</f>
        <v>135927.1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1241.31</v>
      </c>
      <c r="E23" s="94">
        <f>'DOE25'!H24</f>
        <v>321415.51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288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288</v>
      </c>
      <c r="E25" s="24" t="s">
        <v>288</v>
      </c>
      <c r="F25" s="94">
        <f>'DOE25'!I26</f>
        <v>0</v>
      </c>
      <c r="G25" s="24" t="s">
        <v>288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288</v>
      </c>
      <c r="E26" s="24" t="s">
        <v>288</v>
      </c>
      <c r="F26" s="94">
        <f>'DOE25'!I27</f>
        <v>0</v>
      </c>
      <c r="G26" s="24" t="s">
        <v>288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288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288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34844</v>
      </c>
      <c r="F29" s="94">
        <f>'DOE25'!I30</f>
        <v>0</v>
      </c>
      <c r="G29" s="24" t="s">
        <v>288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1241.31</v>
      </c>
      <c r="E31" s="41">
        <f>SUM(E21:E30)</f>
        <v>2551251.1399999997</v>
      </c>
      <c r="F31" s="41">
        <f>SUM(F21:F30)</f>
        <v>0</v>
      </c>
      <c r="G31" s="41">
        <f>SUM(G21:G30)</f>
        <v>135927.1</v>
      </c>
      <c r="H31" s="123"/>
      <c r="I31" s="123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3"/>
      <c r="I32" s="123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3"/>
      <c r="I33" s="123"/>
    </row>
    <row r="34" spans="1:9" x14ac:dyDescent="0.2">
      <c r="A34" s="1" t="s">
        <v>864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288</v>
      </c>
      <c r="H34" s="123"/>
      <c r="I34" s="123"/>
    </row>
    <row r="35" spans="1:9" x14ac:dyDescent="0.2">
      <c r="A35" s="1" t="s">
        <v>865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288</v>
      </c>
      <c r="H35" s="123"/>
      <c r="I35" s="123"/>
    </row>
    <row r="36" spans="1:9" x14ac:dyDescent="0.2">
      <c r="A36" s="1" t="s">
        <v>871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5497790.8600000003</v>
      </c>
      <c r="H36" s="123"/>
      <c r="I36" s="123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3"/>
      <c r="I37" s="123"/>
    </row>
    <row r="38" spans="1:9" x14ac:dyDescent="0.2">
      <c r="A38" s="1" t="s">
        <v>872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378776.61</v>
      </c>
      <c r="H38" s="123"/>
      <c r="I38" s="123"/>
    </row>
    <row r="39" spans="1:9" x14ac:dyDescent="0.2">
      <c r="A39" s="1" t="s">
        <v>876</v>
      </c>
      <c r="B39" s="6"/>
      <c r="C39" s="24" t="s">
        <v>288</v>
      </c>
      <c r="D39" s="94">
        <f>'DOE25'!G40</f>
        <v>540063.25</v>
      </c>
      <c r="E39" s="24" t="s">
        <v>288</v>
      </c>
      <c r="F39" s="24" t="s">
        <v>288</v>
      </c>
      <c r="G39" s="24" t="s">
        <v>288</v>
      </c>
      <c r="H39" s="123"/>
      <c r="I39" s="123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4">
        <f>'DOE25'!I41</f>
        <v>0</v>
      </c>
      <c r="G40" s="24" t="s">
        <v>288</v>
      </c>
      <c r="H40" s="123"/>
      <c r="I40" s="123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3"/>
      <c r="I41" s="123"/>
    </row>
    <row r="42" spans="1:9" x14ac:dyDescent="0.2">
      <c r="A42" s="1" t="s">
        <v>877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878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288</v>
      </c>
      <c r="H43" s="123"/>
      <c r="I43" s="123"/>
    </row>
    <row r="44" spans="1:9" x14ac:dyDescent="0.2">
      <c r="A44" s="1" t="s">
        <v>879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895</v>
      </c>
      <c r="B45" s="6"/>
      <c r="C45" s="94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3"/>
      <c r="I45" s="123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3"/>
      <c r="I46" s="123"/>
    </row>
    <row r="47" spans="1:9" x14ac:dyDescent="0.2">
      <c r="A47" s="1" t="s">
        <v>896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892780.3</v>
      </c>
      <c r="F47" s="94">
        <f>'DOE25'!I48</f>
        <v>41656.310000000056</v>
      </c>
      <c r="G47" s="94">
        <f>'DOE25'!J48</f>
        <v>2106074.17</v>
      </c>
      <c r="H47" s="123"/>
      <c r="I47" s="123"/>
    </row>
    <row r="48" spans="1:9" x14ac:dyDescent="0.2">
      <c r="A48" s="1" t="s">
        <v>897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245744.82</v>
      </c>
      <c r="F48" s="94">
        <f>'DOE25'!I49</f>
        <v>180129.5</v>
      </c>
      <c r="G48" s="94">
        <f>'DOE25'!J49</f>
        <v>2668.54</v>
      </c>
      <c r="H48" s="123"/>
      <c r="I48" s="123"/>
    </row>
    <row r="49" spans="1:9" ht="12" thickBot="1" x14ac:dyDescent="0.25">
      <c r="A49" s="29" t="s">
        <v>898</v>
      </c>
      <c r="B49" s="70">
        <v>770</v>
      </c>
      <c r="C49" s="94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3"/>
      <c r="I49" s="123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540063.25</v>
      </c>
      <c r="E50" s="41">
        <f>SUM(E34:E49)</f>
        <v>1138525.1200000001</v>
      </c>
      <c r="F50" s="41">
        <f>SUM(F34:F49)</f>
        <v>221785.81000000006</v>
      </c>
      <c r="G50" s="41">
        <f>SUM(G34:G49)</f>
        <v>7985310.1800000006</v>
      </c>
      <c r="H50" s="123"/>
      <c r="I50" s="123"/>
    </row>
    <row r="51" spans="1:9" ht="12" thickTop="1" x14ac:dyDescent="0.2">
      <c r="A51" s="38" t="s">
        <v>900</v>
      </c>
      <c r="B51" s="2"/>
      <c r="C51" s="41">
        <f>C50+C31</f>
        <v>0</v>
      </c>
      <c r="D51" s="41">
        <f>D50+D31</f>
        <v>541304.56000000006</v>
      </c>
      <c r="E51" s="41">
        <f>E50+E31</f>
        <v>3689776.26</v>
      </c>
      <c r="F51" s="41">
        <f>F50+F31</f>
        <v>221785.81000000006</v>
      </c>
      <c r="G51" s="41">
        <f>G50+G31</f>
        <v>8121237.2800000003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6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7" t="s">
        <v>161</v>
      </c>
      <c r="B55" s="126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91573182.409999996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23476.799999999999</v>
      </c>
      <c r="D57" s="24" t="s">
        <v>288</v>
      </c>
      <c r="E57" s="94">
        <f>'DOE25'!H79</f>
        <v>768717.9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82267.53</v>
      </c>
      <c r="D58" s="24" t="s">
        <v>288</v>
      </c>
      <c r="E58" s="94">
        <f>'DOE25'!H94</f>
        <v>32270</v>
      </c>
      <c r="F58" s="24" t="s">
        <v>288</v>
      </c>
      <c r="G58" s="24" t="s">
        <v>288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1740.93</v>
      </c>
      <c r="E59" s="94">
        <f>'DOE25'!H96</f>
        <v>0</v>
      </c>
      <c r="F59" s="94">
        <f>'DOE25'!I96</f>
        <v>0</v>
      </c>
      <c r="G59" s="94">
        <f>'DOE25'!J96</f>
        <v>541039.97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288</v>
      </c>
      <c r="D60" s="94">
        <f>'DOE25'!G97</f>
        <v>1874059.58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48036.5</v>
      </c>
      <c r="D61" s="94">
        <f>SUM('DOE25'!G98:G110)</f>
        <v>0</v>
      </c>
      <c r="E61" s="94">
        <f>SUM('DOE25'!H98:H110)</f>
        <v>456578.36</v>
      </c>
      <c r="F61" s="94">
        <f>SUM('DOE25'!I98:I110)</f>
        <v>24425</v>
      </c>
      <c r="G61" s="94">
        <f>SUM('DOE25'!J98:J110)</f>
        <v>310535.40000000002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153780.83000000002</v>
      </c>
      <c r="D62" s="129">
        <f>SUM(D57:D61)</f>
        <v>1875800.51</v>
      </c>
      <c r="E62" s="129">
        <f>SUM(E57:E61)</f>
        <v>1257566.26</v>
      </c>
      <c r="F62" s="129">
        <f>SUM(F57:F61)</f>
        <v>24425</v>
      </c>
      <c r="G62" s="129">
        <f>SUM(G57:G61)</f>
        <v>851575.37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91726963.239999995</v>
      </c>
      <c r="D63" s="22">
        <f>D56+D62</f>
        <v>1875800.51</v>
      </c>
      <c r="E63" s="22">
        <f>E56+E62</f>
        <v>1257566.26</v>
      </c>
      <c r="F63" s="22">
        <f>F56+F62</f>
        <v>24425</v>
      </c>
      <c r="G63" s="22">
        <f>G56+G62</f>
        <v>851575.37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4">
        <f>'DOE25'!F117</f>
        <v>35083503.109999999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4">
        <f>'DOE25'!F118</f>
        <v>19883376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14062.41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54980941.519999996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2377549.0099999998</v>
      </c>
      <c r="D72" s="24" t="s">
        <v>288</v>
      </c>
      <c r="E72" s="24" t="s">
        <v>288</v>
      </c>
      <c r="F72" s="94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288</v>
      </c>
      <c r="E73" s="24" t="s">
        <v>288</v>
      </c>
      <c r="F73" s="94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300722.19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195282.58</v>
      </c>
      <c r="D76" s="24" t="s">
        <v>288</v>
      </c>
      <c r="E76" s="94">
        <f>SUM('DOE25'!H127:H130)</f>
        <v>0</v>
      </c>
      <c r="F76" s="94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75821.63</v>
      </c>
      <c r="E77" s="94">
        <f>SUM('DOE25'!H131:H135)</f>
        <v>445249.91000000003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2873553.78</v>
      </c>
      <c r="D78" s="129">
        <f>SUM(D72:D77)</f>
        <v>75821.63</v>
      </c>
      <c r="E78" s="129">
        <f>SUM(E72:E77)</f>
        <v>445249.91000000003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4">
        <f>'DOE25'!F138</f>
        <v>0</v>
      </c>
      <c r="D80" s="24" t="s">
        <v>288</v>
      </c>
      <c r="E80" s="94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29">
        <f>SUM(C79:C80)+C78+C70</f>
        <v>57854495.299999997</v>
      </c>
      <c r="D81" s="129">
        <f>SUM(D79:D80)+D78+D70</f>
        <v>75821.63</v>
      </c>
      <c r="E81" s="129">
        <f>SUM(E79:E80)+E78+E70</f>
        <v>445249.91000000003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6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7" t="s">
        <v>181</v>
      </c>
      <c r="B84" s="126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4">
        <f>SUM('DOE25'!F149:F152)</f>
        <v>0</v>
      </c>
      <c r="D87" s="24" t="s">
        <v>288</v>
      </c>
      <c r="E87" s="94">
        <f>SUM('DOE25'!H149:H152)</f>
        <v>413817.75</v>
      </c>
      <c r="F87" s="94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4">
        <f>SUM('DOE25'!F153:F161)</f>
        <v>1724020.46</v>
      </c>
      <c r="D88" s="94">
        <f>SUM('DOE25'!G153:G161)</f>
        <v>2901191.94</v>
      </c>
      <c r="E88" s="94">
        <f>SUM('DOE25'!H153:H161)</f>
        <v>7978623.79</v>
      </c>
      <c r="F88" s="94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4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0">
        <f>SUM(C85:C90)</f>
        <v>1724020.46</v>
      </c>
      <c r="D91" s="130">
        <f>SUM(D85:D90)</f>
        <v>2901191.94</v>
      </c>
      <c r="E91" s="130">
        <f>SUM(E85:E90)</f>
        <v>8392441.5399999991</v>
      </c>
      <c r="F91" s="130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4">
        <f>SUM('DOE25'!F173:F175)</f>
        <v>0</v>
      </c>
      <c r="D93" s="24" t="s">
        <v>288</v>
      </c>
      <c r="E93" s="24" t="s">
        <v>288</v>
      </c>
      <c r="F93" s="94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4">
        <f>'DOE25'!F176</f>
        <v>0</v>
      </c>
      <c r="D94" s="24" t="s">
        <v>288</v>
      </c>
      <c r="E94" s="24" t="s">
        <v>288</v>
      </c>
      <c r="F94" s="94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4">
        <f>'DOE25'!G179</f>
        <v>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757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758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288</v>
      </c>
      <c r="G98" s="94">
        <f>'DOE25'!J182</f>
        <v>0</v>
      </c>
    </row>
    <row r="99" spans="1:7" x14ac:dyDescent="0.2">
      <c r="A99" t="s">
        <v>759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1022274.15</v>
      </c>
      <c r="G99" s="24" t="s">
        <v>288</v>
      </c>
    </row>
    <row r="100" spans="1:7" x14ac:dyDescent="0.2">
      <c r="A100" t="s">
        <v>760</v>
      </c>
      <c r="B100" s="32" t="s">
        <v>190</v>
      </c>
      <c r="C100" s="94">
        <f>SUM('DOE25'!F186:F187)</f>
        <v>200000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5">
        <f>SUM(C93:C102)</f>
        <v>200000</v>
      </c>
      <c r="D103" s="85">
        <f>SUM(D93:D102)</f>
        <v>0</v>
      </c>
      <c r="E103" s="85">
        <f>SUM(E93:E102)</f>
        <v>0</v>
      </c>
      <c r="F103" s="85">
        <f>SUM(F93:F102)</f>
        <v>1022274.15</v>
      </c>
      <c r="G103" s="85">
        <f>SUM(G93:G102)</f>
        <v>0</v>
      </c>
    </row>
    <row r="104" spans="1:7" ht="12.75" thickTop="1" thickBot="1" x14ac:dyDescent="0.25">
      <c r="A104" s="33" t="s">
        <v>764</v>
      </c>
      <c r="C104" s="85">
        <f>C63+C81+C91+C103</f>
        <v>151505479</v>
      </c>
      <c r="D104" s="85">
        <f>D63+D81+D91+D103</f>
        <v>4852814.08</v>
      </c>
      <c r="E104" s="85">
        <f>E63+E81+E91+E103</f>
        <v>10095257.709999999</v>
      </c>
      <c r="F104" s="85">
        <f>F63+F81+F91+F103</f>
        <v>1046699.15</v>
      </c>
      <c r="G104" s="85">
        <f>G63+G81+G103</f>
        <v>851575.37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6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7" t="s">
        <v>195</v>
      </c>
      <c r="B108" s="126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56906153.039999999</v>
      </c>
      <c r="D109" s="24" t="s">
        <v>288</v>
      </c>
      <c r="E109" s="94">
        <f>('DOE25'!L276)+('DOE25'!L295)+('DOE25'!L314)</f>
        <v>102923.12999999999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25882074.940000001</v>
      </c>
      <c r="D110" s="24" t="s">
        <v>288</v>
      </c>
      <c r="E110" s="94">
        <f>('DOE25'!L277)+('DOE25'!L296)+('DOE25'!L315)</f>
        <v>5169760.1500000004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4966160.7300000004</v>
      </c>
      <c r="D111" s="24" t="s">
        <v>288</v>
      </c>
      <c r="E111" s="94">
        <f>('DOE25'!L278)+('DOE25'!L297)+('DOE25'!L316)</f>
        <v>299574.51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1030216.2300000002</v>
      </c>
      <c r="D112" s="24" t="s">
        <v>288</v>
      </c>
      <c r="E112" s="94">
        <f>+('DOE25'!L279)+('DOE25'!L298)+('DOE25'!L317)</f>
        <v>964212.8600000001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288</v>
      </c>
      <c r="E113" s="94">
        <f>+'DOE25'!L332</f>
        <v>53184.01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112169.57</v>
      </c>
      <c r="D114" s="24" t="s">
        <v>288</v>
      </c>
      <c r="E114" s="94">
        <f>+ SUM('DOE25'!L333:L335)</f>
        <v>231046.61000000002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5">
        <f>SUM(C109:C114)</f>
        <v>88896774.510000005</v>
      </c>
      <c r="D115" s="85">
        <f>SUM(D109:D114)</f>
        <v>0</v>
      </c>
      <c r="E115" s="85">
        <f>SUM(E109:E114)</f>
        <v>6820701.2700000005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12921170.260000002</v>
      </c>
      <c r="D118" s="24" t="s">
        <v>288</v>
      </c>
      <c r="E118" s="94">
        <f>+('DOE25'!L281)+('DOE25'!L300)+('DOE25'!L319)</f>
        <v>666760.51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5175489.66</v>
      </c>
      <c r="D119" s="24" t="s">
        <v>288</v>
      </c>
      <c r="E119" s="94">
        <f>+('DOE25'!L282)+('DOE25'!L301)+('DOE25'!L320)</f>
        <v>1703719.55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3332285.4599999995</v>
      </c>
      <c r="D120" s="24" t="s">
        <v>288</v>
      </c>
      <c r="E120" s="94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7290116.5999999996</v>
      </c>
      <c r="D121" s="24" t="s">
        <v>288</v>
      </c>
      <c r="E121" s="94">
        <f>+('DOE25'!L284)+('DOE25'!L303)+('DOE25'!L322)</f>
        <v>137591.48000000001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1007374.3</v>
      </c>
      <c r="D122" s="24" t="s">
        <v>288</v>
      </c>
      <c r="E122" s="94">
        <f>+('DOE25'!L285)+('DOE25'!L304)+('DOE25'!L323)</f>
        <v>226314.52000000002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14458374.68</v>
      </c>
      <c r="D123" s="24" t="s">
        <v>288</v>
      </c>
      <c r="E123" s="94">
        <f>+('DOE25'!L286)+('DOE25'!L305)+('DOE25'!L324)</f>
        <v>187733.5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6766724.9100000001</v>
      </c>
      <c r="D124" s="24" t="s">
        <v>288</v>
      </c>
      <c r="E124" s="94">
        <f>+('DOE25'!L287)+('DOE25'!L306)+('DOE25'!L325)</f>
        <v>29773.409999999996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529765.62</v>
      </c>
      <c r="D125" s="24" t="s">
        <v>288</v>
      </c>
      <c r="E125" s="94">
        <f>+('DOE25'!L288)+('DOE25'!L307)+('DOE25'!L326)</f>
        <v>312.8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4">
        <f>('DOE25'!L358)+('DOE25'!L359)+('DOE25'!L360)</f>
        <v>4817746.09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5">
        <f>SUM(C118:C127)</f>
        <v>51481301.490000002</v>
      </c>
      <c r="D128" s="85">
        <f>SUM(D118:D127)</f>
        <v>4817746.09</v>
      </c>
      <c r="E128" s="85">
        <f>SUM(E118:E127)</f>
        <v>2952205.77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4">
        <f>'DOE25'!L255</f>
        <v>200403</v>
      </c>
      <c r="D130" s="24" t="s">
        <v>288</v>
      </c>
      <c r="E130" s="128">
        <f>'DOE25'!L336</f>
        <v>0</v>
      </c>
      <c r="F130" s="128">
        <f>SUM('DOE25'!L374:'DOE25'!L380)</f>
        <v>3671610.23</v>
      </c>
      <c r="G130" s="24" t="s">
        <v>288</v>
      </c>
    </row>
    <row r="131" spans="1:7" x14ac:dyDescent="0.2">
      <c r="A131" t="s">
        <v>229</v>
      </c>
      <c r="B131" s="32">
        <v>5110</v>
      </c>
      <c r="C131" s="94">
        <f>'DOE25'!L260</f>
        <v>8329240</v>
      </c>
      <c r="D131" s="24" t="s">
        <v>288</v>
      </c>
      <c r="E131" s="128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4">
        <f>'DOE25'!L261</f>
        <v>2597760</v>
      </c>
      <c r="D132" s="24" t="s">
        <v>288</v>
      </c>
      <c r="E132" s="128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1222274.1499999999</v>
      </c>
    </row>
    <row r="135" spans="1:7" x14ac:dyDescent="0.2">
      <c r="A135" t="s">
        <v>233</v>
      </c>
      <c r="B135" s="32" t="s">
        <v>234</v>
      </c>
      <c r="C135" s="94">
        <f>'DOE25'!L263</f>
        <v>0</v>
      </c>
      <c r="D135" s="24" t="s">
        <v>288</v>
      </c>
      <c r="E135" s="128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288</v>
      </c>
      <c r="E137" s="128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4">
        <f>'DOE25'!L393</f>
        <v>7997.89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4">
        <f>'DOE25'!L401</f>
        <v>284105.13999999996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4">
        <f>'DOE25'!L407</f>
        <v>559472.34000000008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4">
        <f>('DOE25'!L266+'DOE25'!K347) - (C138+C139+C140)</f>
        <v>-851575.37000000011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288</v>
      </c>
      <c r="E142" s="128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288</v>
      </c>
      <c r="E143" s="128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0">
        <f>SUM(C130:C143)</f>
        <v>11127403</v>
      </c>
      <c r="D144" s="140">
        <f>SUM(D130:D143)</f>
        <v>0</v>
      </c>
      <c r="E144" s="140">
        <f>SUM(E130:E143)</f>
        <v>0</v>
      </c>
      <c r="F144" s="140">
        <f>SUM(F130:F143)</f>
        <v>3671610.23</v>
      </c>
      <c r="G144" s="140">
        <f>SUM(G130:G143)</f>
        <v>1222274.1499999999</v>
      </c>
    </row>
    <row r="145" spans="1:9" ht="12.75" thickTop="1" thickBot="1" x14ac:dyDescent="0.25">
      <c r="A145" s="33" t="s">
        <v>244</v>
      </c>
      <c r="C145" s="85">
        <f>(C115+C128+C144)</f>
        <v>151505479</v>
      </c>
      <c r="D145" s="85">
        <f>(D115+D128+D144)</f>
        <v>4817746.09</v>
      </c>
      <c r="E145" s="85">
        <f>(E115+E128+E144)</f>
        <v>9772907.040000001</v>
      </c>
      <c r="F145" s="85">
        <f>(F115+F128+F144)</f>
        <v>3671610.23</v>
      </c>
      <c r="G145" s="85">
        <f>(G115+G128+G144)</f>
        <v>1222274.1499999999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5" t="s">
        <v>27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288</v>
      </c>
    </row>
    <row r="152" spans="1:9" x14ac:dyDescent="0.2">
      <c r="A152" s="135" t="s">
        <v>28</v>
      </c>
      <c r="B152" s="151">
        <f>'DOE25'!F491</f>
        <v>0</v>
      </c>
      <c r="C152" s="151">
        <f>'DOE25'!G491</f>
        <v>0</v>
      </c>
      <c r="D152" s="151">
        <f>'DOE25'!H491</f>
        <v>0</v>
      </c>
      <c r="E152" s="151">
        <f>'DOE25'!I491</f>
        <v>0</v>
      </c>
      <c r="F152" s="151">
        <f>'DOE25'!J491</f>
        <v>0</v>
      </c>
      <c r="G152" s="24" t="s">
        <v>288</v>
      </c>
    </row>
    <row r="153" spans="1:9" x14ac:dyDescent="0.2">
      <c r="A153" s="135" t="s">
        <v>29</v>
      </c>
      <c r="B153" s="151">
        <f>'DOE25'!F492</f>
        <v>0</v>
      </c>
      <c r="C153" s="151">
        <f>'DOE25'!G492</f>
        <v>0</v>
      </c>
      <c r="D153" s="151">
        <f>'DOE25'!H492</f>
        <v>0</v>
      </c>
      <c r="E153" s="151">
        <f>'DOE25'!I492</f>
        <v>0</v>
      </c>
      <c r="F153" s="151">
        <f>'DOE25'!J492</f>
        <v>0</v>
      </c>
      <c r="G153" s="24" t="s">
        <v>288</v>
      </c>
    </row>
    <row r="154" spans="1:9" x14ac:dyDescent="0.2">
      <c r="A154" s="135" t="s">
        <v>30</v>
      </c>
      <c r="B154" s="136">
        <f>'DOE25'!F493</f>
        <v>0</v>
      </c>
      <c r="C154" s="136">
        <f>'DOE25'!G493</f>
        <v>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288</v>
      </c>
    </row>
    <row r="155" spans="1:9" x14ac:dyDescent="0.2">
      <c r="A155" s="135" t="s">
        <v>31</v>
      </c>
      <c r="B155" s="136" t="str">
        <f>'DOE25'!F494</f>
        <v>*SEE SUPPLEMENTAL SCHEDULE*</v>
      </c>
      <c r="C155" s="136">
        <f>'DOE25'!G494</f>
        <v>0</v>
      </c>
      <c r="D155" s="136">
        <f>'DOE25'!H494</f>
        <v>0</v>
      </c>
      <c r="E155" s="136">
        <f>'DOE25'!I494</f>
        <v>0</v>
      </c>
      <c r="F155" s="136">
        <f>'DOE25'!J494</f>
        <v>0</v>
      </c>
      <c r="G155" s="24" t="s">
        <v>288</v>
      </c>
    </row>
    <row r="156" spans="1:9" x14ac:dyDescent="0.2">
      <c r="A156" s="22" t="s">
        <v>32</v>
      </c>
      <c r="B156" s="136">
        <f>'DOE25'!F495</f>
        <v>71652240</v>
      </c>
      <c r="C156" s="136">
        <f>'DOE25'!G495</f>
        <v>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71652240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8329240</v>
      </c>
      <c r="C158" s="136">
        <f>'DOE25'!G497</f>
        <v>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8329240</v>
      </c>
    </row>
    <row r="159" spans="1:9" x14ac:dyDescent="0.2">
      <c r="A159" s="22" t="s">
        <v>35</v>
      </c>
      <c r="B159" s="136">
        <f>'DOE25'!F498</f>
        <v>63323000</v>
      </c>
      <c r="C159" s="136">
        <f>'DOE25'!G498</f>
        <v>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63323000</v>
      </c>
    </row>
    <row r="160" spans="1:9" x14ac:dyDescent="0.2">
      <c r="A160" s="22" t="s">
        <v>36</v>
      </c>
      <c r="B160" s="136">
        <f>'DOE25'!F499</f>
        <v>13883247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13883247</v>
      </c>
    </row>
    <row r="161" spans="1:7" x14ac:dyDescent="0.2">
      <c r="A161" s="22" t="s">
        <v>37</v>
      </c>
      <c r="B161" s="136">
        <f>'DOE25'!F500</f>
        <v>77206247</v>
      </c>
      <c r="C161" s="136">
        <f>'DOE25'!G500</f>
        <v>0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77206247</v>
      </c>
    </row>
    <row r="162" spans="1:7" x14ac:dyDescent="0.2">
      <c r="A162" s="22" t="s">
        <v>38</v>
      </c>
      <c r="B162" s="136">
        <f>'DOE25'!F501</f>
        <v>8112500</v>
      </c>
      <c r="C162" s="136">
        <f>'DOE25'!G501</f>
        <v>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8112500</v>
      </c>
    </row>
    <row r="163" spans="1:7" x14ac:dyDescent="0.2">
      <c r="A163" s="22" t="s">
        <v>39</v>
      </c>
      <c r="B163" s="136">
        <f>'DOE25'!F502</f>
        <v>2466772</v>
      </c>
      <c r="C163" s="136">
        <f>'DOE25'!G502</f>
        <v>0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2466772</v>
      </c>
    </row>
    <row r="164" spans="1:7" x14ac:dyDescent="0.2">
      <c r="A164" s="22" t="s">
        <v>246</v>
      </c>
      <c r="B164" s="136">
        <f>'DOE25'!F503</f>
        <v>10579272</v>
      </c>
      <c r="C164" s="136">
        <f>'DOE25'!G503</f>
        <v>0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10579272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739</v>
      </c>
      <c r="B1" s="280"/>
      <c r="C1" s="280"/>
      <c r="D1" s="280"/>
    </row>
    <row r="2" spans="1:4" x14ac:dyDescent="0.2">
      <c r="A2" s="186" t="s">
        <v>716</v>
      </c>
      <c r="B2" s="185" t="str">
        <f>'DOE25'!A2</f>
        <v>NASHUA SCHOOL DISTRICT</v>
      </c>
    </row>
    <row r="3" spans="1:4" x14ac:dyDescent="0.2">
      <c r="B3" s="187" t="s">
        <v>908</v>
      </c>
    </row>
    <row r="4" spans="1:4" x14ac:dyDescent="0.2">
      <c r="B4" t="s">
        <v>61</v>
      </c>
      <c r="C4" s="178">
        <f>IF('DOE25'!F665+'DOE25'!F670=0,0,ROUND('DOE25'!F672,0))</f>
        <v>13068</v>
      </c>
    </row>
    <row r="5" spans="1:4" x14ac:dyDescent="0.2">
      <c r="B5" t="s">
        <v>703</v>
      </c>
      <c r="C5" s="178">
        <f>IF('DOE25'!G665+'DOE25'!G670=0,0,ROUND('DOE25'!G672,0))</f>
        <v>12892</v>
      </c>
    </row>
    <row r="6" spans="1:4" x14ac:dyDescent="0.2">
      <c r="B6" t="s">
        <v>62</v>
      </c>
      <c r="C6" s="178">
        <f>IF('DOE25'!H665+'DOE25'!H670=0,0,ROUND('DOE25'!H672,0))</f>
        <v>12022</v>
      </c>
    </row>
    <row r="7" spans="1:4" x14ac:dyDescent="0.2">
      <c r="B7" t="s">
        <v>704</v>
      </c>
      <c r="C7" s="178">
        <f>IF('DOE25'!I665+'DOE25'!I670=0,0,ROUND('DOE25'!I672,0))</f>
        <v>12693</v>
      </c>
    </row>
    <row r="9" spans="1:4" x14ac:dyDescent="0.2">
      <c r="A9" s="186" t="s">
        <v>94</v>
      </c>
      <c r="B9" s="187" t="s">
        <v>909</v>
      </c>
      <c r="C9" s="180" t="s">
        <v>723</v>
      </c>
      <c r="D9" s="180" t="s">
        <v>724</v>
      </c>
    </row>
    <row r="10" spans="1:4" x14ac:dyDescent="0.2">
      <c r="A10">
        <v>1100</v>
      </c>
      <c r="B10" t="s">
        <v>705</v>
      </c>
      <c r="C10" s="178">
        <f>ROUND('DOE25'!L197+'DOE25'!L215+'DOE25'!L233+'DOE25'!L276+'DOE25'!L295+'DOE25'!L314,0)</f>
        <v>57009076</v>
      </c>
      <c r="D10" s="181">
        <f>ROUND((C10/$C$28)*100,1)</f>
        <v>36.6</v>
      </c>
    </row>
    <row r="11" spans="1:4" x14ac:dyDescent="0.2">
      <c r="A11">
        <v>1200</v>
      </c>
      <c r="B11" t="s">
        <v>706</v>
      </c>
      <c r="C11" s="178">
        <f>ROUND('DOE25'!L198+'DOE25'!L216+'DOE25'!L234+'DOE25'!L277+'DOE25'!L296+'DOE25'!L315,0)</f>
        <v>31051835</v>
      </c>
      <c r="D11" s="181">
        <f>ROUND((C11/$C$28)*100,1)</f>
        <v>19.899999999999999</v>
      </c>
    </row>
    <row r="12" spans="1:4" x14ac:dyDescent="0.2">
      <c r="A12">
        <v>1300</v>
      </c>
      <c r="B12" t="s">
        <v>707</v>
      </c>
      <c r="C12" s="178">
        <f>ROUND('DOE25'!L199+'DOE25'!L217+'DOE25'!L235+'DOE25'!L278+'DOE25'!L297+'DOE25'!L316,0)</f>
        <v>5265735</v>
      </c>
      <c r="D12" s="181">
        <f>ROUND((C12/$C$28)*100,1)</f>
        <v>3.4</v>
      </c>
    </row>
    <row r="13" spans="1:4" x14ac:dyDescent="0.2">
      <c r="A13">
        <v>1400</v>
      </c>
      <c r="B13" t="s">
        <v>708</v>
      </c>
      <c r="C13" s="178">
        <f>ROUND('DOE25'!L200+'DOE25'!L218+'DOE25'!L236+'DOE25'!L279+'DOE25'!L298+'DOE25'!L317,0)</f>
        <v>1994429</v>
      </c>
      <c r="D13" s="181">
        <f>ROUND((C13/$C$28)*100,1)</f>
        <v>1.3</v>
      </c>
    </row>
    <row r="14" spans="1:4" x14ac:dyDescent="0.2">
      <c r="D14" s="181"/>
    </row>
    <row r="15" spans="1:4" x14ac:dyDescent="0.2">
      <c r="A15">
        <v>2100</v>
      </c>
      <c r="B15" t="s">
        <v>709</v>
      </c>
      <c r="C15" s="178">
        <f>ROUND('DOE25'!L202+'DOE25'!L220+'DOE25'!L238+'DOE25'!L281+'DOE25'!L300+'DOE25'!L319,0)</f>
        <v>13587931</v>
      </c>
      <c r="D15" s="181">
        <f t="shared" ref="D15:D27" si="0">ROUND((C15/$C$28)*100,1)</f>
        <v>8.6999999999999993</v>
      </c>
    </row>
    <row r="16" spans="1:4" x14ac:dyDescent="0.2">
      <c r="A16">
        <v>2200</v>
      </c>
      <c r="B16" t="s">
        <v>710</v>
      </c>
      <c r="C16" s="178">
        <f>ROUND('DOE25'!L203+'DOE25'!L221+'DOE25'!L239+'DOE25'!L282+'DOE25'!L301+'DOE25'!L320,0)</f>
        <v>6879209</v>
      </c>
      <c r="D16" s="181">
        <f t="shared" si="0"/>
        <v>4.4000000000000004</v>
      </c>
    </row>
    <row r="17" spans="1:4" x14ac:dyDescent="0.2">
      <c r="A17" s="182" t="s">
        <v>726</v>
      </c>
      <c r="B17" t="s">
        <v>741</v>
      </c>
      <c r="C17" s="178">
        <f>ROUND('DOE25'!L204+'DOE25'!L209+'DOE25'!L222+'DOE25'!L227+'DOE25'!L240+'DOE25'!L245+'DOE25'!L283+'DOE25'!L288+'DOE25'!L302+'DOE25'!L307+'DOE25'!L321+'DOE25'!L326,0)</f>
        <v>3862364</v>
      </c>
      <c r="D17" s="181">
        <f t="shared" si="0"/>
        <v>2.5</v>
      </c>
    </row>
    <row r="18" spans="1:4" x14ac:dyDescent="0.2">
      <c r="A18">
        <v>2400</v>
      </c>
      <c r="B18" t="s">
        <v>714</v>
      </c>
      <c r="C18" s="178">
        <f>ROUND('DOE25'!L205+'DOE25'!L223+'DOE25'!L241+'DOE25'!L284+'DOE25'!L303+'DOE25'!L322,0)</f>
        <v>7427708</v>
      </c>
      <c r="D18" s="181">
        <f t="shared" si="0"/>
        <v>4.8</v>
      </c>
    </row>
    <row r="19" spans="1:4" x14ac:dyDescent="0.2">
      <c r="A19">
        <v>2500</v>
      </c>
      <c r="B19" t="s">
        <v>711</v>
      </c>
      <c r="C19" s="178">
        <f>ROUND('DOE25'!L206+'DOE25'!L224+'DOE25'!L242+'DOE25'!L285+'DOE25'!L304+'DOE25'!L323,0)</f>
        <v>1233689</v>
      </c>
      <c r="D19" s="181">
        <f t="shared" si="0"/>
        <v>0.8</v>
      </c>
    </row>
    <row r="20" spans="1:4" x14ac:dyDescent="0.2">
      <c r="A20">
        <v>2600</v>
      </c>
      <c r="B20" t="s">
        <v>712</v>
      </c>
      <c r="C20" s="178">
        <f>ROUND('DOE25'!L207+'DOE25'!L225+'DOE25'!L243+'DOE25'!L286+'DOE25'!L305+'DOE25'!L324,0)</f>
        <v>14646108</v>
      </c>
      <c r="D20" s="181">
        <f t="shared" si="0"/>
        <v>9.4</v>
      </c>
    </row>
    <row r="21" spans="1:4" x14ac:dyDescent="0.2">
      <c r="A21">
        <v>2700</v>
      </c>
      <c r="B21" t="s">
        <v>713</v>
      </c>
      <c r="C21" s="178">
        <f>ROUND('DOE25'!L208+'DOE25'!L226+'DOE25'!L244+'DOE25'!L287+'DOE25'!L306+'DOE25'!L325,0)</f>
        <v>6796498</v>
      </c>
      <c r="D21" s="181">
        <f t="shared" si="0"/>
        <v>4.4000000000000004</v>
      </c>
    </row>
    <row r="22" spans="1:4" x14ac:dyDescent="0.2">
      <c r="A22">
        <v>2900</v>
      </c>
      <c r="B22" t="s">
        <v>715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717</v>
      </c>
      <c r="C23" s="178">
        <f>ROUND('DOE25'!L250+'DOE25'!L332,0)</f>
        <v>53184</v>
      </c>
      <c r="D23" s="181">
        <f t="shared" si="0"/>
        <v>0</v>
      </c>
    </row>
    <row r="24" spans="1:4" x14ac:dyDescent="0.2">
      <c r="A24" s="182" t="s">
        <v>725</v>
      </c>
      <c r="B24" t="s">
        <v>718</v>
      </c>
      <c r="C24" s="178">
        <f>ROUND('DOE25'!L251+'DOE25'!L252+'DOE25'!L253+'DOE25'!L254+'DOE25'!L333+'DOE25'!L334+'DOE25'!L335,0)</f>
        <v>343216</v>
      </c>
      <c r="D24" s="181">
        <f t="shared" si="0"/>
        <v>0.2</v>
      </c>
    </row>
    <row r="25" spans="1:4" x14ac:dyDescent="0.2">
      <c r="A25">
        <v>5120</v>
      </c>
      <c r="B25" t="s">
        <v>719</v>
      </c>
      <c r="C25" s="178">
        <f>ROUND('DOE25'!L261+'DOE25'!L342,0)</f>
        <v>2597760</v>
      </c>
      <c r="D25" s="181">
        <f t="shared" si="0"/>
        <v>1.7</v>
      </c>
    </row>
    <row r="26" spans="1:4" x14ac:dyDescent="0.2">
      <c r="A26" s="182" t="s">
        <v>720</v>
      </c>
      <c r="B26" t="s">
        <v>721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2943686.42</v>
      </c>
      <c r="D27" s="181">
        <f t="shared" si="0"/>
        <v>1.9</v>
      </c>
    </row>
    <row r="28" spans="1:4" x14ac:dyDescent="0.2">
      <c r="B28" s="186" t="s">
        <v>722</v>
      </c>
      <c r="C28" s="179">
        <f>SUM(C10:C27)</f>
        <v>155692428.41999999</v>
      </c>
      <c r="D28" s="183">
        <f>ROUND(SUM(D10:D27),0)</f>
        <v>100</v>
      </c>
    </row>
    <row r="29" spans="1:4" x14ac:dyDescent="0.2">
      <c r="A29">
        <v>4000</v>
      </c>
      <c r="B29" t="s">
        <v>727</v>
      </c>
      <c r="C29" s="178">
        <f>ROUND('DOE25'!L255+'DOE25'!L336+'DOE25'!L374+'DOE25'!L375+'DOE25'!L376+'DOE25'!L377+'DOE25'!L378+'DOE25'!L379+'DOE25'!L380,0)</f>
        <v>3872013</v>
      </c>
    </row>
    <row r="30" spans="1:4" x14ac:dyDescent="0.2">
      <c r="B30" s="186" t="s">
        <v>728</v>
      </c>
      <c r="C30" s="179">
        <f>SUM(C28:C29)</f>
        <v>159564441.41999999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729</v>
      </c>
      <c r="C32" s="179">
        <f>ROUND('DOE25'!L260+'DOE25'!L341,0)</f>
        <v>8329240</v>
      </c>
    </row>
    <row r="34" spans="1:4" x14ac:dyDescent="0.2">
      <c r="A34" s="186" t="s">
        <v>94</v>
      </c>
      <c r="B34" s="187" t="s">
        <v>910</v>
      </c>
      <c r="C34" s="180" t="s">
        <v>723</v>
      </c>
      <c r="D34" s="180" t="s">
        <v>724</v>
      </c>
    </row>
    <row r="35" spans="1:4" x14ac:dyDescent="0.2">
      <c r="A35">
        <v>1100</v>
      </c>
      <c r="B35" s="184" t="s">
        <v>730</v>
      </c>
      <c r="C35" s="178">
        <f>ROUND('DOE25'!F60+'DOE25'!G60+'DOE25'!H60+'DOE25'!I60+'DOE25'!J60,0)</f>
        <v>91573182</v>
      </c>
      <c r="D35" s="181">
        <f t="shared" ref="D35:D40" si="1">ROUND((C35/$C$41)*100,1)</f>
        <v>55.4</v>
      </c>
    </row>
    <row r="36" spans="1:4" x14ac:dyDescent="0.2">
      <c r="B36" s="184" t="s">
        <v>742</v>
      </c>
      <c r="C36" s="178">
        <f>SUM('DOE25'!F112:J112)-SUM('DOE25'!G97:G110)+('DOE25'!F174+'DOE25'!F175+'DOE25'!I174+'DOE25'!I175)-C35</f>
        <v>2289088.8000000119</v>
      </c>
      <c r="D36" s="181">
        <f t="shared" si="1"/>
        <v>1.4</v>
      </c>
    </row>
    <row r="37" spans="1:4" x14ac:dyDescent="0.2">
      <c r="A37" s="182" t="s">
        <v>850</v>
      </c>
      <c r="B37" s="184" t="s">
        <v>731</v>
      </c>
      <c r="C37" s="178">
        <f>ROUND('DOE25'!F117+'DOE25'!F118,0)</f>
        <v>54966879</v>
      </c>
      <c r="D37" s="181">
        <f t="shared" si="1"/>
        <v>33.299999999999997</v>
      </c>
    </row>
    <row r="38" spans="1:4" x14ac:dyDescent="0.2">
      <c r="A38" s="182" t="s">
        <v>737</v>
      </c>
      <c r="B38" s="184" t="s">
        <v>732</v>
      </c>
      <c r="C38" s="178">
        <f>ROUND(SUM('DOE25'!F140:J140)-SUM('DOE25'!F117:F119),0)</f>
        <v>3408688</v>
      </c>
      <c r="D38" s="181">
        <f t="shared" si="1"/>
        <v>2.1</v>
      </c>
    </row>
    <row r="39" spans="1:4" x14ac:dyDescent="0.2">
      <c r="A39">
        <v>4000</v>
      </c>
      <c r="B39" s="184" t="s">
        <v>733</v>
      </c>
      <c r="C39" s="178">
        <f>ROUND('DOE25'!F169+'DOE25'!G169+'DOE25'!H169+'DOE25'!I169,0)</f>
        <v>13017654</v>
      </c>
      <c r="D39" s="181">
        <f t="shared" si="1"/>
        <v>7.9</v>
      </c>
    </row>
    <row r="40" spans="1:4" x14ac:dyDescent="0.2">
      <c r="A40" s="182" t="s">
        <v>738</v>
      </c>
      <c r="B40" s="184" t="s">
        <v>734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735</v>
      </c>
      <c r="C41" s="179">
        <f>SUM(C35:C40)</f>
        <v>165255491.80000001</v>
      </c>
      <c r="D41" s="183">
        <f>SUM(D35:D40)</f>
        <v>100.1</v>
      </c>
    </row>
    <row r="42" spans="1:4" x14ac:dyDescent="0.2">
      <c r="A42" s="182" t="s">
        <v>740</v>
      </c>
      <c r="B42" s="184" t="s">
        <v>736</v>
      </c>
      <c r="C42" s="178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769</v>
      </c>
      <c r="B1" s="288"/>
      <c r="C1" s="288"/>
      <c r="D1" s="288"/>
      <c r="E1" s="288"/>
      <c r="F1" s="288"/>
      <c r="G1" s="288"/>
      <c r="H1" s="288"/>
      <c r="I1" s="288"/>
      <c r="J1" s="212"/>
      <c r="K1" s="212"/>
      <c r="L1" s="212"/>
      <c r="M1" s="213"/>
    </row>
    <row r="2" spans="1:26" ht="12.75" x14ac:dyDescent="0.2">
      <c r="A2" s="285" t="s">
        <v>766</v>
      </c>
      <c r="B2" s="286"/>
      <c r="C2" s="286"/>
      <c r="D2" s="286"/>
      <c r="E2" s="286"/>
      <c r="F2" s="291" t="str">
        <f>'DOE25'!A2</f>
        <v>NASHUA SCHOOL DISTRICT</v>
      </c>
      <c r="G2" s="292"/>
      <c r="H2" s="292"/>
      <c r="I2" s="292"/>
      <c r="J2" s="52"/>
      <c r="K2" s="52"/>
      <c r="L2" s="52"/>
      <c r="M2" s="214"/>
    </row>
    <row r="3" spans="1:26" x14ac:dyDescent="0.2">
      <c r="A3" s="215" t="s">
        <v>767</v>
      </c>
      <c r="B3" s="216" t="s">
        <v>768</v>
      </c>
      <c r="C3" s="289" t="s">
        <v>770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7"/>
      <c r="B4" s="218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7"/>
      <c r="B5" s="218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7"/>
      <c r="B6" s="218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7"/>
      <c r="B7" s="218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7"/>
      <c r="B8" s="218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7"/>
      <c r="B9" s="218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7"/>
      <c r="B10" s="218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7"/>
      <c r="B11" s="218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7"/>
      <c r="B12" s="2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7"/>
      <c r="B13" s="218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7"/>
      <c r="B14" s="218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7"/>
      <c r="B15" s="218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7"/>
      <c r="B16" s="218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7"/>
      <c r="B17" s="218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7"/>
      <c r="B18" s="218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7"/>
      <c r="B19" s="218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7"/>
      <c r="B20" s="218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7"/>
      <c r="B21" s="218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7"/>
      <c r="B22" s="218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7"/>
      <c r="B23" s="218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7"/>
      <c r="B24" s="218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7"/>
      <c r="B25" s="218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7"/>
      <c r="B26" s="218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7"/>
      <c r="B27" s="218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7"/>
      <c r="B28" s="218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7"/>
      <c r="B29" s="218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0"/>
      <c r="O29" s="210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6"/>
      <c r="AB29" s="206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6"/>
      <c r="AO29" s="206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6"/>
      <c r="BB29" s="206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6"/>
      <c r="BO29" s="206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6"/>
      <c r="CB29" s="206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6"/>
      <c r="CO29" s="206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6"/>
      <c r="DB29" s="206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6"/>
      <c r="DO29" s="206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6"/>
      <c r="EB29" s="206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6"/>
      <c r="EO29" s="206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6"/>
      <c r="FB29" s="206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6"/>
      <c r="FO29" s="206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6"/>
      <c r="GB29" s="206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6"/>
      <c r="GO29" s="206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6"/>
      <c r="HB29" s="206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6"/>
      <c r="HO29" s="206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6"/>
      <c r="IB29" s="206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6"/>
      <c r="IO29" s="206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7"/>
      <c r="B30" s="218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0"/>
      <c r="O30" s="210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6"/>
      <c r="AB30" s="206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6"/>
      <c r="AO30" s="206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6"/>
      <c r="BB30" s="206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6"/>
      <c r="BO30" s="206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6"/>
      <c r="CB30" s="206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6"/>
      <c r="CO30" s="206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6"/>
      <c r="DB30" s="206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6"/>
      <c r="DO30" s="206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6"/>
      <c r="EB30" s="206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6"/>
      <c r="EO30" s="206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6"/>
      <c r="FB30" s="206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6"/>
      <c r="FO30" s="206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6"/>
      <c r="GB30" s="206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6"/>
      <c r="GO30" s="206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6"/>
      <c r="HB30" s="206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6"/>
      <c r="HO30" s="206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6"/>
      <c r="IB30" s="206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6"/>
      <c r="IO30" s="206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7"/>
      <c r="B31" s="218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0"/>
      <c r="O31" s="210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6"/>
      <c r="AB31" s="206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6"/>
      <c r="AO31" s="206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6"/>
      <c r="BB31" s="206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6"/>
      <c r="BO31" s="206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6"/>
      <c r="CB31" s="206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6"/>
      <c r="CO31" s="206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6"/>
      <c r="DB31" s="206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6"/>
      <c r="DO31" s="206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6"/>
      <c r="EB31" s="206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6"/>
      <c r="EO31" s="206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6"/>
      <c r="FB31" s="206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6"/>
      <c r="FO31" s="206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6"/>
      <c r="GB31" s="206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6"/>
      <c r="GO31" s="206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6"/>
      <c r="HB31" s="206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6"/>
      <c r="HO31" s="206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6"/>
      <c r="IB31" s="206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6"/>
      <c r="IO31" s="206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7"/>
      <c r="B32" s="218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2"/>
      <c r="O32" s="222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7"/>
      <c r="AB32" s="218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7"/>
      <c r="AO32" s="218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7"/>
      <c r="BB32" s="218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7"/>
      <c r="BO32" s="218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7"/>
      <c r="CB32" s="218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7"/>
      <c r="CO32" s="218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7"/>
      <c r="DB32" s="218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7"/>
      <c r="DO32" s="218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7"/>
      <c r="EB32" s="218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7"/>
      <c r="EO32" s="218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7"/>
      <c r="FB32" s="218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7"/>
      <c r="FO32" s="218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7"/>
      <c r="GB32" s="218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7"/>
      <c r="GO32" s="218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7"/>
      <c r="HB32" s="218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7"/>
      <c r="HO32" s="218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7"/>
      <c r="IB32" s="218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7"/>
      <c r="IO32" s="218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7"/>
      <c r="B33" s="218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0"/>
      <c r="O38" s="210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6"/>
      <c r="AB38" s="206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6"/>
      <c r="AO38" s="206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6"/>
      <c r="BB38" s="206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6"/>
      <c r="BO38" s="206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6"/>
      <c r="CB38" s="206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6"/>
      <c r="CO38" s="206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6"/>
      <c r="DB38" s="206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6"/>
      <c r="DO38" s="206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6"/>
      <c r="EB38" s="206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6"/>
      <c r="EO38" s="206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6"/>
      <c r="FB38" s="206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6"/>
      <c r="FO38" s="206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6"/>
      <c r="GB38" s="206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6"/>
      <c r="GO38" s="206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6"/>
      <c r="HB38" s="206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6"/>
      <c r="HO38" s="206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6"/>
      <c r="IB38" s="206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6"/>
      <c r="IO38" s="206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7"/>
      <c r="B39" s="218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0"/>
      <c r="O39" s="210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6"/>
      <c r="AB39" s="206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6"/>
      <c r="AO39" s="206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6"/>
      <c r="BB39" s="206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6"/>
      <c r="BO39" s="206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6"/>
      <c r="CB39" s="206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6"/>
      <c r="CO39" s="206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6"/>
      <c r="DB39" s="206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6"/>
      <c r="DO39" s="206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6"/>
      <c r="EB39" s="206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6"/>
      <c r="EO39" s="206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6"/>
      <c r="FB39" s="206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6"/>
      <c r="FO39" s="206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6"/>
      <c r="GB39" s="206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6"/>
      <c r="GO39" s="206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6"/>
      <c r="HB39" s="206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6"/>
      <c r="HO39" s="206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6"/>
      <c r="IB39" s="206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6"/>
      <c r="IO39" s="206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7"/>
      <c r="B40" s="218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0"/>
      <c r="O40" s="210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6"/>
      <c r="AB40" s="206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6"/>
      <c r="AO40" s="206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6"/>
      <c r="BB40" s="206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6"/>
      <c r="BO40" s="206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6"/>
      <c r="CB40" s="206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6"/>
      <c r="CO40" s="206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6"/>
      <c r="DB40" s="206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6"/>
      <c r="DO40" s="206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6"/>
      <c r="EB40" s="206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6"/>
      <c r="EO40" s="206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6"/>
      <c r="FB40" s="206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6"/>
      <c r="FO40" s="206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6"/>
      <c r="GB40" s="206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6"/>
      <c r="GO40" s="206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6"/>
      <c r="HB40" s="206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6"/>
      <c r="HO40" s="206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6"/>
      <c r="IB40" s="206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6"/>
      <c r="IO40" s="206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7"/>
      <c r="B41" s="218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7"/>
      <c r="B51" s="218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7"/>
      <c r="B52" s="218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7"/>
      <c r="B53" s="218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7"/>
      <c r="B54" s="218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7"/>
      <c r="B55" s="218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7"/>
      <c r="B56" s="218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7"/>
      <c r="B57" s="218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7"/>
      <c r="B58" s="218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7"/>
      <c r="B59" s="218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7"/>
      <c r="B60" s="218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7"/>
      <c r="B61" s="218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7"/>
      <c r="B62" s="218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7"/>
      <c r="B63" s="218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7"/>
      <c r="B64" s="218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7"/>
      <c r="B65" s="218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7"/>
      <c r="B66" s="218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7"/>
      <c r="B67" s="218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7"/>
      <c r="B68" s="218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7"/>
      <c r="B69" s="218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9"/>
      <c r="B70" s="220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98" t="s">
        <v>847</v>
      </c>
      <c r="B72" s="298"/>
      <c r="C72" s="298"/>
      <c r="D72" s="298"/>
      <c r="E72" s="298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9" t="s">
        <v>767</v>
      </c>
      <c r="B73" s="209" t="s">
        <v>768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0"/>
      <c r="B74" s="210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0"/>
      <c r="B75" s="210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0"/>
      <c r="B76" s="210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0"/>
      <c r="B77" s="210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0"/>
      <c r="B78" s="210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0"/>
      <c r="B79" s="210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0"/>
      <c r="B80" s="210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0"/>
      <c r="B81" s="210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0"/>
      <c r="B82" s="210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0"/>
      <c r="B83" s="210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0"/>
      <c r="B84" s="210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0"/>
      <c r="B85" s="210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0"/>
      <c r="B86" s="210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0"/>
      <c r="B87" s="210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0"/>
      <c r="B88" s="210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0"/>
      <c r="B89" s="210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0"/>
      <c r="B90" s="210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B0A" sheet="1" objects="1" scenarios="1"/>
  <mergeCells count="223">
    <mergeCell ref="C70:M70"/>
    <mergeCell ref="A72:E72"/>
    <mergeCell ref="C73:M73"/>
    <mergeCell ref="C74:M74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82:M82"/>
    <mergeCell ref="C87:M87"/>
    <mergeCell ref="C57:M57"/>
    <mergeCell ref="C59:M59"/>
    <mergeCell ref="C60:M60"/>
    <mergeCell ref="C58:M58"/>
    <mergeCell ref="C62:M62"/>
    <mergeCell ref="C77:M77"/>
    <mergeCell ref="C76:M76"/>
    <mergeCell ref="C66:M66"/>
    <mergeCell ref="C78:M78"/>
    <mergeCell ref="C79:M79"/>
    <mergeCell ref="C80:M80"/>
    <mergeCell ref="C81:M81"/>
    <mergeCell ref="C30:M30"/>
    <mergeCell ref="C31:M31"/>
    <mergeCell ref="C42:M42"/>
    <mergeCell ref="C41:M41"/>
    <mergeCell ref="C33:M33"/>
    <mergeCell ref="C37:M37"/>
    <mergeCell ref="AC32:AM32"/>
    <mergeCell ref="C46:M46"/>
    <mergeCell ref="C44:M44"/>
    <mergeCell ref="C43:M43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AC31:AM31"/>
    <mergeCell ref="P40:Z40"/>
    <mergeCell ref="AC40:AM40"/>
    <mergeCell ref="BC29:BM29"/>
    <mergeCell ref="BP29:BZ29"/>
    <mergeCell ref="CC29:CM29"/>
    <mergeCell ref="AC29:AM29"/>
    <mergeCell ref="P31:Z31"/>
    <mergeCell ref="P32:Z32"/>
    <mergeCell ref="C15:M15"/>
    <mergeCell ref="C16:M16"/>
    <mergeCell ref="C17:M17"/>
    <mergeCell ref="C18:M18"/>
    <mergeCell ref="C19:M19"/>
    <mergeCell ref="C20:M20"/>
    <mergeCell ref="P29:Z29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2:M32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P30:EZ30"/>
    <mergeCell ref="HP29:HZ29"/>
    <mergeCell ref="IC29:IM29"/>
    <mergeCell ref="FP29:FZ29"/>
    <mergeCell ref="GC29:GM29"/>
    <mergeCell ref="GP29:GZ29"/>
    <mergeCell ref="HC29:HM29"/>
    <mergeCell ref="AP32:AZ32"/>
    <mergeCell ref="BP32:BZ32"/>
    <mergeCell ref="GC32:GM32"/>
    <mergeCell ref="CC32:CM32"/>
    <mergeCell ref="DC32:DM32"/>
    <mergeCell ref="DP32:DZ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DP30:DZ30"/>
    <mergeCell ref="CC30:CM30"/>
    <mergeCell ref="BC30:BM30"/>
    <mergeCell ref="BP30:BZ30"/>
    <mergeCell ref="DC30:DM30"/>
    <mergeCell ref="IP30:IV30"/>
    <mergeCell ref="IC32:IM32"/>
    <mergeCell ref="IC30:IM30"/>
    <mergeCell ref="HP30:HZ30"/>
    <mergeCell ref="AP40:AZ40"/>
    <mergeCell ref="BC31:BM31"/>
    <mergeCell ref="BC32:BM32"/>
    <mergeCell ref="BC39:BM39"/>
    <mergeCell ref="BP31:BZ31"/>
    <mergeCell ref="CC31:CM31"/>
    <mergeCell ref="AP31:AZ31"/>
    <mergeCell ref="CP31:CZ31"/>
    <mergeCell ref="FP32:FZ32"/>
    <mergeCell ref="HP31:HZ31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IP39:IV39"/>
    <mergeCell ref="EP39:EZ39"/>
    <mergeCell ref="FC39:FM39"/>
    <mergeCell ref="FP39:FZ39"/>
    <mergeCell ref="GP39:GZ39"/>
    <mergeCell ref="IP32:IV32"/>
    <mergeCell ref="EP38:EZ38"/>
    <mergeCell ref="FC38:FM38"/>
    <mergeCell ref="FP38:FZ38"/>
    <mergeCell ref="GC38:GM38"/>
    <mergeCell ref="HC32:HM32"/>
    <mergeCell ref="HP32:HZ32"/>
    <mergeCell ref="HP38:HZ38"/>
    <mergeCell ref="IC38:IM38"/>
    <mergeCell ref="IP38:IV38"/>
    <mergeCell ref="IC39:IM39"/>
    <mergeCell ref="GP38:GZ38"/>
    <mergeCell ref="HC38:HM38"/>
    <mergeCell ref="HC39:HM39"/>
    <mergeCell ref="DC39:DM39"/>
    <mergeCell ref="DP39:DZ39"/>
    <mergeCell ref="EC39:EM39"/>
    <mergeCell ref="GC39:GM39"/>
    <mergeCell ref="HP39:HZ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P38:CZ38"/>
    <mergeCell ref="BC38:BM38"/>
    <mergeCell ref="P39:Z39"/>
    <mergeCell ref="AC39:AM39"/>
    <mergeCell ref="AP39:AZ39"/>
    <mergeCell ref="CC38:CM38"/>
    <mergeCell ref="DC38:DM38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GC40:GM40"/>
    <mergeCell ref="GP40:GZ40"/>
    <mergeCell ref="HC40:HM40"/>
    <mergeCell ref="HP40:HZ40"/>
    <mergeCell ref="EC40:EM40"/>
    <mergeCell ref="DP40:DZ40"/>
    <mergeCell ref="BC40:B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2017-10-26T18:33:33Z</cp:lastPrinted>
  <dcterms:created xsi:type="dcterms:W3CDTF">1997-12-04T19:04:30Z</dcterms:created>
  <dcterms:modified xsi:type="dcterms:W3CDTF">2017-11-29T17:44:41Z</dcterms:modified>
</cp:coreProperties>
</file>