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9" i="12" l="1"/>
  <c r="F521" i="1"/>
  <c r="F198" i="1"/>
  <c r="H611" i="1"/>
  <c r="G611" i="1"/>
  <c r="F611" i="1"/>
  <c r="H526" i="1"/>
  <c r="I526" i="1"/>
  <c r="G526" i="1"/>
  <c r="F526" i="1"/>
  <c r="I521" i="1"/>
  <c r="H521" i="1"/>
  <c r="G521" i="1"/>
  <c r="J472" i="1"/>
  <c r="I472" i="1"/>
  <c r="H472" i="1"/>
  <c r="G472" i="1"/>
  <c r="J179" i="1"/>
  <c r="J96" i="1"/>
  <c r="I468" i="1"/>
  <c r="H468" i="1"/>
  <c r="G468" i="1"/>
  <c r="F468" i="1"/>
  <c r="G459" i="1"/>
  <c r="F459" i="1"/>
  <c r="G358" i="1"/>
  <c r="G282" i="1"/>
  <c r="H279" i="1"/>
  <c r="G279" i="1"/>
  <c r="F279" i="1"/>
  <c r="G276" i="1"/>
  <c r="F276" i="1"/>
  <c r="K266" i="1"/>
  <c r="H244" i="1"/>
  <c r="H226" i="1"/>
  <c r="I203" i="1"/>
  <c r="I202" i="1"/>
  <c r="H208" i="1"/>
  <c r="H204" i="1"/>
  <c r="H203" i="1"/>
  <c r="H202" i="1"/>
  <c r="G204" i="1"/>
  <c r="G202" i="1"/>
  <c r="G200" i="1"/>
  <c r="F204" i="1"/>
  <c r="F20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C110" i="2" s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E112" i="2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G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C113" i="2"/>
  <c r="E113" i="2"/>
  <c r="C114" i="2"/>
  <c r="E114" i="2"/>
  <c r="D115" i="2"/>
  <c r="F115" i="2"/>
  <c r="G115" i="2"/>
  <c r="E118" i="2"/>
  <c r="E119" i="2"/>
  <c r="E120" i="2"/>
  <c r="C121" i="2"/>
  <c r="E121" i="2"/>
  <c r="C122" i="2"/>
  <c r="E122" i="2"/>
  <c r="E128" i="2" s="1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3" i="1"/>
  <c r="G634" i="1"/>
  <c r="H634" i="1"/>
  <c r="H635" i="1"/>
  <c r="H636" i="1"/>
  <c r="J636" i="1" s="1"/>
  <c r="H638" i="1"/>
  <c r="G639" i="1"/>
  <c r="G641" i="1"/>
  <c r="H641" i="1"/>
  <c r="G643" i="1"/>
  <c r="H643" i="1"/>
  <c r="G644" i="1"/>
  <c r="G645" i="1"/>
  <c r="G649" i="1"/>
  <c r="G650" i="1"/>
  <c r="G652" i="1"/>
  <c r="H652" i="1"/>
  <c r="G653" i="1"/>
  <c r="H653" i="1"/>
  <c r="G654" i="1"/>
  <c r="H654" i="1"/>
  <c r="H655" i="1"/>
  <c r="F192" i="1"/>
  <c r="G164" i="2"/>
  <c r="C26" i="10"/>
  <c r="L328" i="1"/>
  <c r="L351" i="1"/>
  <c r="A31" i="12"/>
  <c r="C70" i="2"/>
  <c r="D12" i="13"/>
  <c r="C12" i="13" s="1"/>
  <c r="D62" i="2"/>
  <c r="D63" i="2" s="1"/>
  <c r="D18" i="13"/>
  <c r="C18" i="13" s="1"/>
  <c r="D18" i="2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G62" i="2"/>
  <c r="D19" i="13"/>
  <c r="C19" i="13" s="1"/>
  <c r="E13" i="13"/>
  <c r="C13" i="13" s="1"/>
  <c r="E78" i="2"/>
  <c r="E81" i="2" s="1"/>
  <c r="L427" i="1"/>
  <c r="J257" i="1"/>
  <c r="J271" i="1" s="1"/>
  <c r="J641" i="1"/>
  <c r="K605" i="1"/>
  <c r="G648" i="1" s="1"/>
  <c r="J571" i="1"/>
  <c r="K571" i="1"/>
  <c r="L433" i="1"/>
  <c r="L419" i="1"/>
  <c r="D81" i="2"/>
  <c r="I169" i="1"/>
  <c r="G552" i="1"/>
  <c r="J643" i="1"/>
  <c r="G476" i="1"/>
  <c r="H623" i="1" s="1"/>
  <c r="J623" i="1" s="1"/>
  <c r="J140" i="1"/>
  <c r="F571" i="1"/>
  <c r="I552" i="1"/>
  <c r="K550" i="1"/>
  <c r="G22" i="2"/>
  <c r="J552" i="1"/>
  <c r="C29" i="10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F338" i="1"/>
  <c r="F352" i="1" s="1"/>
  <c r="G192" i="1"/>
  <c r="H192" i="1"/>
  <c r="C35" i="10"/>
  <c r="L309" i="1"/>
  <c r="E16" i="13"/>
  <c r="C16" i="13" s="1"/>
  <c r="J655" i="1"/>
  <c r="L570" i="1"/>
  <c r="I571" i="1"/>
  <c r="G36" i="2"/>
  <c r="L565" i="1"/>
  <c r="G545" i="1"/>
  <c r="C22" i="13"/>
  <c r="C138" i="2"/>
  <c r="H33" i="13"/>
  <c r="C11" i="10" l="1"/>
  <c r="L614" i="1"/>
  <c r="J651" i="1"/>
  <c r="K598" i="1"/>
  <c r="G647" i="1" s="1"/>
  <c r="J649" i="1"/>
  <c r="H545" i="1"/>
  <c r="K549" i="1"/>
  <c r="L534" i="1"/>
  <c r="I545" i="1"/>
  <c r="F552" i="1"/>
  <c r="L524" i="1"/>
  <c r="K552" i="1"/>
  <c r="I476" i="1"/>
  <c r="H625" i="1" s="1"/>
  <c r="J625" i="1" s="1"/>
  <c r="H476" i="1"/>
  <c r="H624" i="1" s="1"/>
  <c r="J624" i="1" s="1"/>
  <c r="J645" i="1"/>
  <c r="J644" i="1"/>
  <c r="J640" i="1"/>
  <c r="I460" i="1"/>
  <c r="I461" i="1" s="1"/>
  <c r="H642" i="1" s="1"/>
  <c r="J639" i="1"/>
  <c r="I446" i="1"/>
  <c r="G642" i="1" s="1"/>
  <c r="L362" i="1"/>
  <c r="G635" i="1" s="1"/>
  <c r="J635" i="1" s="1"/>
  <c r="D29" i="13"/>
  <c r="C29" i="13" s="1"/>
  <c r="D127" i="2"/>
  <c r="D128" i="2" s="1"/>
  <c r="D145" i="2" s="1"/>
  <c r="H661" i="1"/>
  <c r="I661" i="1" s="1"/>
  <c r="C16" i="10"/>
  <c r="E115" i="2"/>
  <c r="E145" i="2" s="1"/>
  <c r="L290" i="1"/>
  <c r="C21" i="10"/>
  <c r="L247" i="1"/>
  <c r="H660" i="1" s="1"/>
  <c r="L229" i="1"/>
  <c r="H257" i="1"/>
  <c r="H271" i="1" s="1"/>
  <c r="D14" i="13"/>
  <c r="C14" i="13" s="1"/>
  <c r="C20" i="10"/>
  <c r="D6" i="13"/>
  <c r="C6" i="13" s="1"/>
  <c r="H647" i="1"/>
  <c r="C124" i="2"/>
  <c r="D15" i="13"/>
  <c r="C15" i="13" s="1"/>
  <c r="F662" i="1"/>
  <c r="I662" i="1" s="1"/>
  <c r="C120" i="2"/>
  <c r="D7" i="13"/>
  <c r="C7" i="13" s="1"/>
  <c r="D5" i="13"/>
  <c r="C5" i="13" s="1"/>
  <c r="C109" i="2"/>
  <c r="C115" i="2" s="1"/>
  <c r="C10" i="10"/>
  <c r="E8" i="13"/>
  <c r="C8" i="13" s="1"/>
  <c r="C119" i="2"/>
  <c r="L211" i="1"/>
  <c r="C118" i="2"/>
  <c r="H112" i="1"/>
  <c r="H193" i="1" s="1"/>
  <c r="G629" i="1" s="1"/>
  <c r="J629" i="1" s="1"/>
  <c r="C81" i="2"/>
  <c r="F112" i="1"/>
  <c r="C62" i="2"/>
  <c r="C63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F104" i="2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J647" i="1" l="1"/>
  <c r="L545" i="1"/>
  <c r="G646" i="1"/>
  <c r="J468" i="1"/>
  <c r="H646" i="1"/>
  <c r="H664" i="1"/>
  <c r="H672" i="1" s="1"/>
  <c r="C6" i="10" s="1"/>
  <c r="D31" i="13"/>
  <c r="C31" i="13" s="1"/>
  <c r="L338" i="1"/>
  <c r="L352" i="1" s="1"/>
  <c r="G633" i="1" s="1"/>
  <c r="J633" i="1" s="1"/>
  <c r="F660" i="1"/>
  <c r="F664" i="1" s="1"/>
  <c r="F667" i="1" s="1"/>
  <c r="H667" i="1"/>
  <c r="G672" i="1"/>
  <c r="C5" i="10" s="1"/>
  <c r="C28" i="10"/>
  <c r="D23" i="10" s="1"/>
  <c r="E33" i="13"/>
  <c r="D35" i="13" s="1"/>
  <c r="L257" i="1"/>
  <c r="L271" i="1" s="1"/>
  <c r="C128" i="2"/>
  <c r="C145" i="2" s="1"/>
  <c r="C36" i="10"/>
  <c r="C104" i="2"/>
  <c r="C51" i="2"/>
  <c r="G631" i="1"/>
  <c r="G193" i="1"/>
  <c r="G628" i="1" s="1"/>
  <c r="J628" i="1" s="1"/>
  <c r="G626" i="1"/>
  <c r="J52" i="1"/>
  <c r="H621" i="1" s="1"/>
  <c r="J621" i="1" s="1"/>
  <c r="C38" i="10"/>
  <c r="G632" i="1" l="1"/>
  <c r="F472" i="1"/>
  <c r="J631" i="1"/>
  <c r="H637" i="1"/>
  <c r="J637" i="1" s="1"/>
  <c r="J470" i="1"/>
  <c r="J476" i="1" s="1"/>
  <c r="H626" i="1" s="1"/>
  <c r="J626" i="1" s="1"/>
  <c r="H631" i="1"/>
  <c r="J646" i="1"/>
  <c r="I660" i="1"/>
  <c r="I664" i="1" s="1"/>
  <c r="I672" i="1" s="1"/>
  <c r="C7" i="10" s="1"/>
  <c r="D33" i="13"/>
  <c r="D36" i="13" s="1"/>
  <c r="F672" i="1"/>
  <c r="C4" i="10" s="1"/>
  <c r="D13" i="10"/>
  <c r="D11" i="10"/>
  <c r="D25" i="10"/>
  <c r="D20" i="10"/>
  <c r="D22" i="10"/>
  <c r="D18" i="10"/>
  <c r="D21" i="10"/>
  <c r="D27" i="10"/>
  <c r="D15" i="10"/>
  <c r="D19" i="10"/>
  <c r="D17" i="10"/>
  <c r="D12" i="10"/>
  <c r="D24" i="10"/>
  <c r="D10" i="10"/>
  <c r="D26" i="10"/>
  <c r="C30" i="10"/>
  <c r="D16" i="10"/>
  <c r="I667" i="1"/>
  <c r="C41" i="10"/>
  <c r="D38" i="10" s="1"/>
  <c r="F474" i="1" l="1"/>
  <c r="F476" i="1" s="1"/>
  <c r="H622" i="1" s="1"/>
  <c r="J622" i="1" s="1"/>
  <c r="H632" i="1"/>
  <c r="J632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<sst xmlns="http://schemas.openxmlformats.org/spreadsheetml/2006/main" count="3955" uniqueCount="913">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</sst>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375</v>
      </c>
      <c r="C2" s="21">
        <v>375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275277.35-17050.69</f>
        <v>258226.65999999997</v>
      </c>
      <c r="G9" s="18"/>
      <c r="H9" s="18">
        <v>9730.49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183608.49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7314.29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39714.82</v>
      </c>
      <c r="G13" s="18"/>
      <c r="H13" s="18">
        <v>9396.2800000000007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102.5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305358.26999999996</v>
      </c>
      <c r="G19" s="41">
        <f>SUM(G9:G18)</f>
        <v>0</v>
      </c>
      <c r="H19" s="41">
        <f>SUM(H9:H18)</f>
        <v>19126.77</v>
      </c>
      <c r="I19" s="41">
        <f>SUM(I9:I18)</f>
        <v>0</v>
      </c>
      <c r="J19" s="41">
        <f>SUM(J9:J18)</f>
        <v>183608.49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7314.29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95.66</v>
      </c>
      <c r="G23" s="18"/>
      <c r="H23" s="18">
        <v>304.06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8643.1299999999992</v>
      </c>
      <c r="G24" s="18"/>
      <c r="H24" s="18">
        <v>43.74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1061.7</v>
      </c>
      <c r="G28" s="18"/>
      <c r="H28" s="18">
        <v>1734.19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9800.49</v>
      </c>
      <c r="G32" s="41">
        <f>SUM(G22:G31)</f>
        <v>0</v>
      </c>
      <c r="H32" s="41">
        <f>SUM(H22:H31)</f>
        <v>9396.2800000000007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9631.7999999999993</v>
      </c>
      <c r="I48" s="18"/>
      <c r="J48" s="13">
        <f>SUM(I459)</f>
        <v>183608.49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862.83</v>
      </c>
      <c r="G49" s="18"/>
      <c r="H49" s="18">
        <v>98.69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264694.95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295557.78000000003</v>
      </c>
      <c r="G51" s="41">
        <f>SUM(G35:G50)</f>
        <v>0</v>
      </c>
      <c r="H51" s="41">
        <f>SUM(H35:H50)</f>
        <v>9730.49</v>
      </c>
      <c r="I51" s="41">
        <f>SUM(I35:I50)</f>
        <v>0</v>
      </c>
      <c r="J51" s="41">
        <f>SUM(J35:J50)</f>
        <v>183608.49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305358.27</v>
      </c>
      <c r="G52" s="41">
        <f>G51+G32</f>
        <v>0</v>
      </c>
      <c r="H52" s="41">
        <f>H51+H32</f>
        <v>19126.77</v>
      </c>
      <c r="I52" s="41">
        <f>I51+I32</f>
        <v>0</v>
      </c>
      <c r="J52" s="41">
        <f>J51+J32</f>
        <v>183608.49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832448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832448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>
        <v>21452.5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420251.7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53384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473635.7</v>
      </c>
      <c r="G79" s="45" t="s">
        <v>288</v>
      </c>
      <c r="H79" s="41">
        <f>SUM(H63:H78)</f>
        <v>21452.5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165.62</v>
      </c>
      <c r="G96" s="18"/>
      <c r="H96" s="18"/>
      <c r="I96" s="18"/>
      <c r="J96" s="18">
        <f>349.02+823.11</f>
        <v>1172.1300000000001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27201.77</v>
      </c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865.06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4077.13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32309.58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1172.1300000000001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1338393.28</v>
      </c>
      <c r="G112" s="41">
        <f>G60+G111</f>
        <v>0</v>
      </c>
      <c r="H112" s="41">
        <f>H60+H79+H94+H111</f>
        <v>21452.5</v>
      </c>
      <c r="I112" s="41">
        <f>I60+I111</f>
        <v>0</v>
      </c>
      <c r="J112" s="41">
        <f>J60+J111</f>
        <v>1172.1300000000001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87465.36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287652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375117.36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375117.36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22603.4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5774.5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3209.83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2003.63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2003.63</v>
      </c>
      <c r="G162" s="41">
        <f>SUM(G150:G161)</f>
        <v>0</v>
      </c>
      <c r="H162" s="41">
        <f>SUM(H150:H161)</f>
        <v>31587.730000000003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2003.63</v>
      </c>
      <c r="G169" s="41">
        <f>G147+G162+SUM(G163:G168)</f>
        <v>0</v>
      </c>
      <c r="H169" s="41">
        <f>H147+H162+SUM(H163:H168)</f>
        <v>31587.730000000003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9526.15</v>
      </c>
      <c r="H179" s="18"/>
      <c r="I179" s="18"/>
      <c r="J179" s="18">
        <f>25000+5000</f>
        <v>30000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9526.15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9526.15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1715514.27</v>
      </c>
      <c r="G193" s="47">
        <f>G112+G140+G169+G192</f>
        <v>9526.15</v>
      </c>
      <c r="H193" s="47">
        <f>H112+H140+H169+H192</f>
        <v>53040.23</v>
      </c>
      <c r="I193" s="47">
        <f>I112+I140+I169+I192</f>
        <v>0</v>
      </c>
      <c r="J193" s="47">
        <f>J112+J140+J192</f>
        <v>31172.13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245777.54</v>
      </c>
      <c r="G197" s="18">
        <v>94462.59</v>
      </c>
      <c r="H197" s="18">
        <v>36143.25</v>
      </c>
      <c r="I197" s="18">
        <v>10566.9</v>
      </c>
      <c r="J197" s="18">
        <v>11101.42</v>
      </c>
      <c r="K197" s="18">
        <v>75</v>
      </c>
      <c r="L197" s="19">
        <f>SUM(F197:K197)</f>
        <v>398126.7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130691.77+1906.39</f>
        <v>132598.16</v>
      </c>
      <c r="G198" s="18">
        <v>55779.66</v>
      </c>
      <c r="H198" s="18">
        <v>19144.8</v>
      </c>
      <c r="I198" s="18">
        <v>1522.92</v>
      </c>
      <c r="J198" s="18"/>
      <c r="K198" s="18"/>
      <c r="L198" s="19">
        <f>SUM(F198:K198)</f>
        <v>209045.54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1038</v>
      </c>
      <c r="G200" s="18">
        <f>502.12+29.8</f>
        <v>531.91999999999996</v>
      </c>
      <c r="H200" s="18">
        <v>322</v>
      </c>
      <c r="I200" s="18"/>
      <c r="J200" s="18"/>
      <c r="K200" s="18"/>
      <c r="L200" s="19">
        <f>SUM(F200:K200)</f>
        <v>1891.92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9829.16+8115.12+990+16500.12</f>
        <v>35434.399999999994</v>
      </c>
      <c r="G202" s="18">
        <f>786.86+650.8+75.74+1323.26</f>
        <v>2836.66</v>
      </c>
      <c r="H202" s="18">
        <f>13208.6+510.5+6532.75</f>
        <v>20251.849999999999</v>
      </c>
      <c r="I202" s="18">
        <f>426.35+84.91</f>
        <v>511.26</v>
      </c>
      <c r="J202" s="18"/>
      <c r="K202" s="18"/>
      <c r="L202" s="19">
        <f t="shared" ref="L202:L208" si="0">SUM(F202:K202)</f>
        <v>59034.17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3625</v>
      </c>
      <c r="G203" s="18">
        <v>856.24</v>
      </c>
      <c r="H203" s="18">
        <f>1103+1225</f>
        <v>2328</v>
      </c>
      <c r="I203" s="18">
        <f>59.3+873.73</f>
        <v>933.03</v>
      </c>
      <c r="J203" s="18"/>
      <c r="K203" s="18"/>
      <c r="L203" s="19">
        <f t="shared" si="0"/>
        <v>7742.2699999999995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1426.5+1750</f>
        <v>3176.5</v>
      </c>
      <c r="G204" s="18">
        <f>116.13+144.38</f>
        <v>260.51</v>
      </c>
      <c r="H204" s="18">
        <f>410.1+100+6050+20388.87+100+95175</f>
        <v>122223.97</v>
      </c>
      <c r="I204" s="18">
        <v>160.04</v>
      </c>
      <c r="J204" s="18"/>
      <c r="K204" s="18">
        <v>58</v>
      </c>
      <c r="L204" s="19">
        <f t="shared" si="0"/>
        <v>125879.01999999999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110375.73</v>
      </c>
      <c r="G205" s="18">
        <v>59022.080000000002</v>
      </c>
      <c r="H205" s="18">
        <v>12091.2</v>
      </c>
      <c r="I205" s="18">
        <v>3537.03</v>
      </c>
      <c r="J205" s="18">
        <v>4046.5</v>
      </c>
      <c r="K205" s="18"/>
      <c r="L205" s="19">
        <f t="shared" si="0"/>
        <v>189072.54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13201.23</v>
      </c>
      <c r="G207" s="18">
        <v>1212.43</v>
      </c>
      <c r="H207" s="18">
        <v>35289.550000000003</v>
      </c>
      <c r="I207" s="18">
        <v>18313.18</v>
      </c>
      <c r="J207" s="18">
        <v>895</v>
      </c>
      <c r="K207" s="18"/>
      <c r="L207" s="19">
        <f t="shared" si="0"/>
        <v>68911.390000000014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26260.15+2268+19991.66</f>
        <v>48519.81</v>
      </c>
      <c r="I208" s="18"/>
      <c r="J208" s="18"/>
      <c r="K208" s="18"/>
      <c r="L208" s="19">
        <f t="shared" si="0"/>
        <v>48519.81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1035.75</v>
      </c>
      <c r="I209" s="18"/>
      <c r="J209" s="18"/>
      <c r="K209" s="18"/>
      <c r="L209" s="19">
        <f>SUM(F209:K209)</f>
        <v>1035.75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545226.55999999994</v>
      </c>
      <c r="G211" s="41">
        <f t="shared" si="1"/>
        <v>214962.09000000003</v>
      </c>
      <c r="H211" s="41">
        <f t="shared" si="1"/>
        <v>297350.18</v>
      </c>
      <c r="I211" s="41">
        <f t="shared" si="1"/>
        <v>35544.36</v>
      </c>
      <c r="J211" s="41">
        <f t="shared" si="1"/>
        <v>16042.92</v>
      </c>
      <c r="K211" s="41">
        <f t="shared" si="1"/>
        <v>133</v>
      </c>
      <c r="L211" s="41">
        <f t="shared" si="1"/>
        <v>1109259.1100000003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121586.98</v>
      </c>
      <c r="I215" s="18"/>
      <c r="J215" s="18"/>
      <c r="K215" s="18"/>
      <c r="L215" s="19">
        <f>SUM(F215:K215)</f>
        <v>121586.98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19035.32</v>
      </c>
      <c r="I216" s="18"/>
      <c r="J216" s="18"/>
      <c r="K216" s="18"/>
      <c r="L216" s="19">
        <f>SUM(F216:K216)</f>
        <v>19035.32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13352.93+8544.17</f>
        <v>21897.1</v>
      </c>
      <c r="I226" s="18"/>
      <c r="J226" s="18"/>
      <c r="K226" s="18"/>
      <c r="L226" s="19">
        <f t="shared" si="2"/>
        <v>21897.1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162519.4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162519.4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150400.18</v>
      </c>
      <c r="I233" s="18"/>
      <c r="J233" s="18"/>
      <c r="K233" s="18"/>
      <c r="L233" s="19">
        <f>SUM(F233:K233)</f>
        <v>150400.18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87825.88</v>
      </c>
      <c r="I234" s="18"/>
      <c r="J234" s="18"/>
      <c r="K234" s="18"/>
      <c r="L234" s="19">
        <f>SUM(F234:K234)</f>
        <v>87825.88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13351.92+8544.17</f>
        <v>21896.09</v>
      </c>
      <c r="I244" s="18"/>
      <c r="J244" s="18"/>
      <c r="K244" s="18"/>
      <c r="L244" s="19">
        <f t="shared" si="4"/>
        <v>21896.09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260122.15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260122.15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15411.35</v>
      </c>
      <c r="I255" s="18"/>
      <c r="J255" s="18"/>
      <c r="K255" s="18"/>
      <c r="L255" s="19">
        <f t="shared" si="6"/>
        <v>15411.35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15411.35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15411.35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545226.55999999994</v>
      </c>
      <c r="G257" s="41">
        <f t="shared" si="8"/>
        <v>214962.09000000003</v>
      </c>
      <c r="H257" s="41">
        <f t="shared" si="8"/>
        <v>735403.08</v>
      </c>
      <c r="I257" s="41">
        <f t="shared" si="8"/>
        <v>35544.36</v>
      </c>
      <c r="J257" s="41">
        <f t="shared" si="8"/>
        <v>16042.92</v>
      </c>
      <c r="K257" s="41">
        <f t="shared" si="8"/>
        <v>133</v>
      </c>
      <c r="L257" s="41">
        <f t="shared" si="8"/>
        <v>1547312.0100000002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9526.15</v>
      </c>
      <c r="L263" s="19">
        <f>SUM(F263:K263)</f>
        <v>9526.15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f>25000+5000</f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39526.15</v>
      </c>
      <c r="L270" s="41">
        <f t="shared" si="9"/>
        <v>39526.15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545226.55999999994</v>
      </c>
      <c r="G271" s="42">
        <f t="shared" si="11"/>
        <v>214962.09000000003</v>
      </c>
      <c r="H271" s="42">
        <f t="shared" si="11"/>
        <v>735403.08</v>
      </c>
      <c r="I271" s="42">
        <f t="shared" si="11"/>
        <v>35544.36</v>
      </c>
      <c r="J271" s="42">
        <f t="shared" si="11"/>
        <v>16042.92</v>
      </c>
      <c r="K271" s="42">
        <f t="shared" si="11"/>
        <v>39659.15</v>
      </c>
      <c r="L271" s="42">
        <f t="shared" si="11"/>
        <v>1586838.1600000001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13499.17+11213.17+2024.39+1509</f>
        <v>28245.73</v>
      </c>
      <c r="G276" s="18">
        <f>1032.67+56.64+0.25+1128.07+153.87</f>
        <v>2371.5</v>
      </c>
      <c r="H276" s="18"/>
      <c r="I276" s="18">
        <v>1191.43</v>
      </c>
      <c r="J276" s="18"/>
      <c r="K276" s="18"/>
      <c r="L276" s="19">
        <f>SUM(F276:K276)</f>
        <v>31808.66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>
        <v>1409.2</v>
      </c>
      <c r="J277" s="18"/>
      <c r="K277" s="18"/>
      <c r="L277" s="19">
        <f>SUM(F277:K277)</f>
        <v>1409.2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3195.5+1406.25+2481.03</f>
        <v>7082.7800000000007</v>
      </c>
      <c r="G279" s="18">
        <f>405.68+107.58+500.73+220.36+32.96</f>
        <v>1267.31</v>
      </c>
      <c r="H279" s="18">
        <f>4.32+43.74</f>
        <v>48.06</v>
      </c>
      <c r="I279" s="18">
        <v>50</v>
      </c>
      <c r="J279" s="18"/>
      <c r="K279" s="18"/>
      <c r="L279" s="19">
        <f>SUM(F279:K279)</f>
        <v>8448.15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2500</v>
      </c>
      <c r="G282" s="18">
        <f>191.25+391.75+15</f>
        <v>598</v>
      </c>
      <c r="H282" s="18">
        <v>2446.41</v>
      </c>
      <c r="I282" s="18"/>
      <c r="J282" s="18"/>
      <c r="K282" s="18"/>
      <c r="L282" s="19">
        <f t="shared" si="12"/>
        <v>5544.41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1597.49</v>
      </c>
      <c r="L285" s="19">
        <f t="shared" si="12"/>
        <v>1597.49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37828.51</v>
      </c>
      <c r="G290" s="42">
        <f t="shared" si="13"/>
        <v>4236.8099999999995</v>
      </c>
      <c r="H290" s="42">
        <f t="shared" si="13"/>
        <v>2494.4699999999998</v>
      </c>
      <c r="I290" s="42">
        <f t="shared" si="13"/>
        <v>2650.63</v>
      </c>
      <c r="J290" s="42">
        <f t="shared" si="13"/>
        <v>0</v>
      </c>
      <c r="K290" s="42">
        <f t="shared" si="13"/>
        <v>1597.49</v>
      </c>
      <c r="L290" s="41">
        <f t="shared" si="13"/>
        <v>48807.909999999996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37828.51</v>
      </c>
      <c r="G338" s="41">
        <f t="shared" si="20"/>
        <v>4236.8099999999995</v>
      </c>
      <c r="H338" s="41">
        <f t="shared" si="20"/>
        <v>2494.4699999999998</v>
      </c>
      <c r="I338" s="41">
        <f t="shared" si="20"/>
        <v>2650.63</v>
      </c>
      <c r="J338" s="41">
        <f t="shared" si="20"/>
        <v>0</v>
      </c>
      <c r="K338" s="41">
        <f t="shared" si="20"/>
        <v>1597.49</v>
      </c>
      <c r="L338" s="41">
        <f t="shared" si="20"/>
        <v>48807.909999999996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37828.51</v>
      </c>
      <c r="G352" s="41">
        <f>G338</f>
        <v>4236.8099999999995</v>
      </c>
      <c r="H352" s="41">
        <f>H338</f>
        <v>2494.4699999999998</v>
      </c>
      <c r="I352" s="41">
        <f>I338</f>
        <v>2650.63</v>
      </c>
      <c r="J352" s="41">
        <f>J338</f>
        <v>0</v>
      </c>
      <c r="K352" s="47">
        <f>K338+K351</f>
        <v>1597.49</v>
      </c>
      <c r="L352" s="41">
        <f>L338+L351</f>
        <v>48807.909999999996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5898.7</v>
      </c>
      <c r="G358" s="18">
        <f>451.27+159.94</f>
        <v>611.21</v>
      </c>
      <c r="H358" s="18">
        <v>3016.24</v>
      </c>
      <c r="I358" s="18"/>
      <c r="J358" s="18"/>
      <c r="K358" s="18"/>
      <c r="L358" s="13">
        <f>SUM(F358:K358)</f>
        <v>9526.15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5898.7</v>
      </c>
      <c r="G362" s="47">
        <f t="shared" si="22"/>
        <v>611.21</v>
      </c>
      <c r="H362" s="47">
        <f t="shared" si="22"/>
        <v>3016.24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9526.15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25000</v>
      </c>
      <c r="H389" s="18">
        <v>349.02</v>
      </c>
      <c r="I389" s="18"/>
      <c r="J389" s="24" t="s">
        <v>288</v>
      </c>
      <c r="K389" s="24" t="s">
        <v>288</v>
      </c>
      <c r="L389" s="56">
        <f t="shared" si="25"/>
        <v>25349.02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349.02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25349.02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5000</v>
      </c>
      <c r="H397" s="18">
        <v>823.11</v>
      </c>
      <c r="I397" s="18"/>
      <c r="J397" s="24" t="s">
        <v>288</v>
      </c>
      <c r="K397" s="24" t="s">
        <v>288</v>
      </c>
      <c r="L397" s="56">
        <f t="shared" si="26"/>
        <v>5823.11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</v>
      </c>
      <c r="H401" s="47">
        <f>SUM(H395:H400)</f>
        <v>823.11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5823.11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1172.1300000000001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31172.13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60119.62</v>
      </c>
      <c r="G440" s="18">
        <v>123488.87</v>
      </c>
      <c r="H440" s="18"/>
      <c r="I440" s="56">
        <f t="shared" si="33"/>
        <v>183608.49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60119.62</v>
      </c>
      <c r="G446" s="13">
        <f>SUM(G439:G445)</f>
        <v>123488.87</v>
      </c>
      <c r="H446" s="13">
        <f>SUM(H439:H445)</f>
        <v>0</v>
      </c>
      <c r="I446" s="13">
        <f>SUM(I439:I445)</f>
        <v>183608.49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F440</f>
        <v>60119.62</v>
      </c>
      <c r="G459" s="18">
        <f>G440</f>
        <v>123488.87</v>
      </c>
      <c r="H459" s="18"/>
      <c r="I459" s="56">
        <f t="shared" si="34"/>
        <v>183608.49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60119.62</v>
      </c>
      <c r="G460" s="83">
        <f>SUM(G454:G459)</f>
        <v>123488.87</v>
      </c>
      <c r="H460" s="83">
        <f>SUM(H454:H459)</f>
        <v>0</v>
      </c>
      <c r="I460" s="83">
        <f>SUM(I454:I459)</f>
        <v>183608.49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60119.62</v>
      </c>
      <c r="G461" s="42">
        <f>G452+G460</f>
        <v>123488.87</v>
      </c>
      <c r="H461" s="42">
        <f>H452+H460</f>
        <v>0</v>
      </c>
      <c r="I461" s="42">
        <f>I452+I460</f>
        <v>183608.49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166881.67000000001</v>
      </c>
      <c r="G465" s="18">
        <v>0</v>
      </c>
      <c r="H465" s="18">
        <v>5498.17</v>
      </c>
      <c r="I465" s="18">
        <v>0</v>
      </c>
      <c r="J465" s="18">
        <v>152436.35999999999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1715514.27</v>
      </c>
      <c r="G468" s="18">
        <f>G193</f>
        <v>9526.15</v>
      </c>
      <c r="H468" s="18">
        <f>H193</f>
        <v>53040.23</v>
      </c>
      <c r="I468" s="18">
        <f>I193</f>
        <v>0</v>
      </c>
      <c r="J468" s="18">
        <f>J193</f>
        <v>31172.13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1715514.27</v>
      </c>
      <c r="G470" s="53">
        <f>SUM(G468:G469)</f>
        <v>9526.15</v>
      </c>
      <c r="H470" s="53">
        <f>SUM(H468:H469)</f>
        <v>53040.23</v>
      </c>
      <c r="I470" s="53">
        <f>SUM(I468:I469)</f>
        <v>0</v>
      </c>
      <c r="J470" s="53">
        <f>SUM(J468:J469)</f>
        <v>31172.13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1586838.1600000001</v>
      </c>
      <c r="G472" s="18">
        <f>L362</f>
        <v>9526.15</v>
      </c>
      <c r="H472" s="18">
        <f>L352</f>
        <v>48807.909999999996</v>
      </c>
      <c r="I472" s="18">
        <f>L382</f>
        <v>0</v>
      </c>
      <c r="J472" s="18">
        <f>L434</f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1586838.1600000001</v>
      </c>
      <c r="G474" s="53">
        <f>SUM(G472:G473)</f>
        <v>9526.15</v>
      </c>
      <c r="H474" s="53">
        <f>SUM(H472:H473)</f>
        <v>48807.909999999996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295557.7799999998</v>
      </c>
      <c r="G476" s="53">
        <f>(G465+G470)- G474</f>
        <v>0</v>
      </c>
      <c r="H476" s="53">
        <f>(H465+H470)- H474</f>
        <v>9730.4900000000052</v>
      </c>
      <c r="I476" s="53">
        <f>(I465+I470)- I474</f>
        <v>0</v>
      </c>
      <c r="J476" s="53">
        <f>(J465+J470)- J474</f>
        <v>183608.49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45193.53+85498.24+1906.39</f>
        <v>132598.16</v>
      </c>
      <c r="G521" s="18">
        <f>36692.01+1904.38+275.92+439.05+9433.39+6832.02+202.89</f>
        <v>55779.66</v>
      </c>
      <c r="H521" s="18">
        <f>19144.8</f>
        <v>19144.8</v>
      </c>
      <c r="I521" s="18">
        <f>1522.92+1409.2</f>
        <v>2932.12</v>
      </c>
      <c r="J521" s="18"/>
      <c r="K521" s="18"/>
      <c r="L521" s="88">
        <f>SUM(F521:K521)</f>
        <v>210454.74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19035.32</v>
      </c>
      <c r="I522" s="18"/>
      <c r="J522" s="18"/>
      <c r="K522" s="18"/>
      <c r="L522" s="88">
        <f>SUM(F522:K522)</f>
        <v>19035.32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87825.88</v>
      </c>
      <c r="I523" s="18"/>
      <c r="J523" s="18"/>
      <c r="K523" s="18"/>
      <c r="L523" s="88">
        <f>SUM(F523:K523)</f>
        <v>87825.88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132598.16</v>
      </c>
      <c r="G524" s="108">
        <f t="shared" ref="G524:L524" si="36">SUM(G521:G523)</f>
        <v>55779.66</v>
      </c>
      <c r="H524" s="108">
        <f t="shared" si="36"/>
        <v>126006</v>
      </c>
      <c r="I524" s="108">
        <f t="shared" si="36"/>
        <v>2932.12</v>
      </c>
      <c r="J524" s="108">
        <f t="shared" si="36"/>
        <v>0</v>
      </c>
      <c r="K524" s="108">
        <f t="shared" si="36"/>
        <v>0</v>
      </c>
      <c r="L524" s="89">
        <f t="shared" si="36"/>
        <v>317315.94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990+16500.12</f>
        <v>17490.12</v>
      </c>
      <c r="G526" s="18">
        <f>75.74+1262.3+60.96</f>
        <v>1399</v>
      </c>
      <c r="H526" s="18">
        <f>13208.6+510.5+6532.75+1225</f>
        <v>21476.85</v>
      </c>
      <c r="I526" s="18">
        <f>84.91</f>
        <v>84.91</v>
      </c>
      <c r="J526" s="18"/>
      <c r="K526" s="18"/>
      <c r="L526" s="88">
        <f>SUM(F526:K526)</f>
        <v>40450.880000000005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17490.12</v>
      </c>
      <c r="G529" s="89">
        <f t="shared" ref="G529:L529" si="37">SUM(G526:G528)</f>
        <v>1399</v>
      </c>
      <c r="H529" s="89">
        <f t="shared" si="37"/>
        <v>21476.85</v>
      </c>
      <c r="I529" s="89">
        <f t="shared" si="37"/>
        <v>84.91</v>
      </c>
      <c r="J529" s="89">
        <f t="shared" si="37"/>
        <v>0</v>
      </c>
      <c r="K529" s="89">
        <f t="shared" si="37"/>
        <v>0</v>
      </c>
      <c r="L529" s="89">
        <f t="shared" si="37"/>
        <v>40450.880000000005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9070</v>
      </c>
      <c r="I531" s="18"/>
      <c r="J531" s="18"/>
      <c r="K531" s="18">
        <v>22.7</v>
      </c>
      <c r="L531" s="88">
        <f>SUM(F531:K531)</f>
        <v>9092.7000000000007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9070</v>
      </c>
      <c r="I534" s="89">
        <f t="shared" si="38"/>
        <v>0</v>
      </c>
      <c r="J534" s="89">
        <f t="shared" si="38"/>
        <v>0</v>
      </c>
      <c r="K534" s="89">
        <f t="shared" si="38"/>
        <v>22.7</v>
      </c>
      <c r="L534" s="89">
        <f t="shared" si="38"/>
        <v>9092.7000000000007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150088.28</v>
      </c>
      <c r="G545" s="89">
        <f t="shared" ref="G545:L545" si="41">G524+G529+G534+G539+G544</f>
        <v>57178.66</v>
      </c>
      <c r="H545" s="89">
        <f t="shared" si="41"/>
        <v>156552.85</v>
      </c>
      <c r="I545" s="89">
        <f t="shared" si="41"/>
        <v>3017.0299999999997</v>
      </c>
      <c r="J545" s="89">
        <f t="shared" si="41"/>
        <v>0</v>
      </c>
      <c r="K545" s="89">
        <f t="shared" si="41"/>
        <v>22.7</v>
      </c>
      <c r="L545" s="89">
        <f t="shared" si="41"/>
        <v>366859.52000000002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210454.74</v>
      </c>
      <c r="G549" s="87">
        <f>L526</f>
        <v>40450.880000000005</v>
      </c>
      <c r="H549" s="87">
        <f>L531</f>
        <v>9092.7000000000007</v>
      </c>
      <c r="I549" s="87">
        <f>L536</f>
        <v>0</v>
      </c>
      <c r="J549" s="87">
        <f>L541</f>
        <v>0</v>
      </c>
      <c r="K549" s="87">
        <f>SUM(F549:J549)</f>
        <v>259998.32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19035.32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19035.32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87825.88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87825.88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317315.94</v>
      </c>
      <c r="G552" s="89">
        <f t="shared" si="42"/>
        <v>40450.880000000005</v>
      </c>
      <c r="H552" s="89">
        <f t="shared" si="42"/>
        <v>9092.7000000000007</v>
      </c>
      <c r="I552" s="89">
        <f t="shared" si="42"/>
        <v>0</v>
      </c>
      <c r="J552" s="89">
        <f t="shared" si="42"/>
        <v>0</v>
      </c>
      <c r="K552" s="89">
        <f t="shared" si="42"/>
        <v>366859.52000000002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121586.98</v>
      </c>
      <c r="H575" s="18">
        <v>150400.18</v>
      </c>
      <c r="I575" s="87">
        <f>SUM(F575:H575)</f>
        <v>271987.15999999997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19144.8</v>
      </c>
      <c r="G579" s="18">
        <v>19035.32</v>
      </c>
      <c r="H579" s="18">
        <v>87825.88</v>
      </c>
      <c r="I579" s="87">
        <f t="shared" si="47"/>
        <v>126006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26260.15</v>
      </c>
      <c r="I591" s="18">
        <v>13352.93</v>
      </c>
      <c r="J591" s="18">
        <v>13351.92</v>
      </c>
      <c r="K591" s="104">
        <f t="shared" ref="K591:K597" si="48">SUM(H591:J591)</f>
        <v>52965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2268</v>
      </c>
      <c r="I595" s="18"/>
      <c r="J595" s="18"/>
      <c r="K595" s="104">
        <f t="shared" si="48"/>
        <v>2268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19991.66</v>
      </c>
      <c r="I597" s="18">
        <v>8544.17</v>
      </c>
      <c r="J597" s="18">
        <v>8544.17</v>
      </c>
      <c r="K597" s="104">
        <f t="shared" si="48"/>
        <v>37080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48519.81</v>
      </c>
      <c r="I598" s="108">
        <f>SUM(I591:I597)</f>
        <v>21897.1</v>
      </c>
      <c r="J598" s="108">
        <f>SUM(J591:J597)</f>
        <v>21896.09</v>
      </c>
      <c r="K598" s="108">
        <f>SUM(K591:K597)</f>
        <v>92313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16042.92</v>
      </c>
      <c r="I604" s="18"/>
      <c r="J604" s="18"/>
      <c r="K604" s="104">
        <f>SUM(H604:J604)</f>
        <v>16042.92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16042.92</v>
      </c>
      <c r="I605" s="108">
        <f>SUM(I602:I604)</f>
        <v>0</v>
      </c>
      <c r="J605" s="108">
        <f>SUM(J602:J604)</f>
        <v>0</v>
      </c>
      <c r="K605" s="108">
        <f>SUM(K602:K604)</f>
        <v>16042.92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3195.5+1406.25+2481.03</f>
        <v>7082.7800000000007</v>
      </c>
      <c r="G611" s="18">
        <f>28.55+1.25+405.68+107.58+500.73+220.36+32.96</f>
        <v>1297.1100000000001</v>
      </c>
      <c r="H611" s="18">
        <f>4.32+43.74</f>
        <v>48.06</v>
      </c>
      <c r="I611" s="18">
        <v>50</v>
      </c>
      <c r="J611" s="18"/>
      <c r="K611" s="18"/>
      <c r="L611" s="88">
        <f>SUM(F611:K611)</f>
        <v>8477.9500000000007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7082.7800000000007</v>
      </c>
      <c r="G614" s="108">
        <f t="shared" si="49"/>
        <v>1297.1100000000001</v>
      </c>
      <c r="H614" s="108">
        <f t="shared" si="49"/>
        <v>48.06</v>
      </c>
      <c r="I614" s="108">
        <f t="shared" si="49"/>
        <v>50</v>
      </c>
      <c r="J614" s="108">
        <f t="shared" si="49"/>
        <v>0</v>
      </c>
      <c r="K614" s="108">
        <f t="shared" si="49"/>
        <v>0</v>
      </c>
      <c r="L614" s="89">
        <f t="shared" si="49"/>
        <v>8477.9500000000007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305358.26999999996</v>
      </c>
      <c r="H617" s="109">
        <f>SUM(F52)</f>
        <v>305358.27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19126.77</v>
      </c>
      <c r="H619" s="109">
        <f>SUM(H52)</f>
        <v>19126.77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183608.49</v>
      </c>
      <c r="H621" s="109">
        <f>SUM(J52)</f>
        <v>183608.49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295557.78000000003</v>
      </c>
      <c r="H622" s="109">
        <f>F476</f>
        <v>295557.7799999998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9730.49</v>
      </c>
      <c r="H624" s="109">
        <f>H476</f>
        <v>9730.4900000000052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183608.49</v>
      </c>
      <c r="H626" s="109">
        <f>J476</f>
        <v>183608.49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1715514.27</v>
      </c>
      <c r="H627" s="104">
        <f>SUM(F468)</f>
        <v>1715514.27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9526.15</v>
      </c>
      <c r="H628" s="104">
        <f>SUM(G468)</f>
        <v>9526.15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53040.23</v>
      </c>
      <c r="H629" s="104">
        <f>SUM(H468)</f>
        <v>53040.23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31172.13</v>
      </c>
      <c r="H631" s="104">
        <f>SUM(J468)</f>
        <v>31172.13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1586838.1600000001</v>
      </c>
      <c r="H632" s="104">
        <f>SUM(F472)</f>
        <v>1586838.1600000001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48807.909999999996</v>
      </c>
      <c r="H633" s="104">
        <f>SUM(H472)</f>
        <v>48807.909999999996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9526.15</v>
      </c>
      <c r="H635" s="104">
        <f>SUM(G472)</f>
        <v>9526.15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31172.13</v>
      </c>
      <c r="H637" s="164">
        <f>SUM(J468)</f>
        <v>31172.13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60119.62</v>
      </c>
      <c r="H639" s="104">
        <f>SUM(F461)</f>
        <v>60119.62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123488.87</v>
      </c>
      <c r="H640" s="104">
        <f>SUM(G461)</f>
        <v>123488.87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183608.49</v>
      </c>
      <c r="H642" s="104">
        <f>SUM(I461)</f>
        <v>183608.49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1172.1300000000001</v>
      </c>
      <c r="H644" s="104">
        <f>H408</f>
        <v>1172.1300000000001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30000</v>
      </c>
      <c r="H645" s="104">
        <f>G408</f>
        <v>30000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31172.13</v>
      </c>
      <c r="H646" s="104">
        <f>L408</f>
        <v>31172.13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92313</v>
      </c>
      <c r="H647" s="104">
        <f>L208+L226+L244</f>
        <v>92313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16042.92</v>
      </c>
      <c r="H648" s="104">
        <f>(J257+J338)-(J255+J336)</f>
        <v>16042.92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48519.81</v>
      </c>
      <c r="H649" s="104">
        <f>H598</f>
        <v>48519.81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21897.1</v>
      </c>
      <c r="H650" s="104">
        <f>I598</f>
        <v>21897.1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21896.09</v>
      </c>
      <c r="H651" s="104">
        <f>J598</f>
        <v>21896.09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9526.15</v>
      </c>
      <c r="H652" s="104">
        <f>K263+K345</f>
        <v>9526.15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30000</v>
      </c>
      <c r="H655" s="104">
        <f>K266+K347</f>
        <v>30000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1167593.1700000002</v>
      </c>
      <c r="G660" s="19">
        <f>(L229+L309+L359)</f>
        <v>162519.4</v>
      </c>
      <c r="H660" s="19">
        <f>(L247+L328+L360)</f>
        <v>260122.15</v>
      </c>
      <c r="I660" s="19">
        <f>SUM(F660:H660)</f>
        <v>1590234.72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48519.81</v>
      </c>
      <c r="G662" s="19">
        <f>(L226+L306)-(J226+J306)</f>
        <v>21897.1</v>
      </c>
      <c r="H662" s="19">
        <f>(L244+L325)-(J244+J325)</f>
        <v>21896.09</v>
      </c>
      <c r="I662" s="19">
        <f>SUM(F662:H662)</f>
        <v>92313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43665.67</v>
      </c>
      <c r="G663" s="199">
        <f>SUM(G575:G587)+SUM(I602:I604)+L612</f>
        <v>140622.29999999999</v>
      </c>
      <c r="H663" s="199">
        <f>SUM(H575:H587)+SUM(J602:J604)+L613</f>
        <v>238226.06</v>
      </c>
      <c r="I663" s="19">
        <f>SUM(F663:H663)</f>
        <v>422514.02999999997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1075407.6900000002</v>
      </c>
      <c r="G664" s="19">
        <f>G660-SUM(G661:G663)</f>
        <v>0</v>
      </c>
      <c r="H664" s="19">
        <f>H660-SUM(H661:H663)</f>
        <v>0</v>
      </c>
      <c r="I664" s="19">
        <f>I660-SUM(I661:I663)</f>
        <v>1075407.69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68.2</v>
      </c>
      <c r="G665" s="248"/>
      <c r="H665" s="248"/>
      <c r="I665" s="19">
        <f>SUM(F665:H665)</f>
        <v>68.2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15768.44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15768.44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15768.44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15768.44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NELSON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274023.27</v>
      </c>
      <c r="C9" s="229">
        <f>'DOE25'!G197+'DOE25'!G215+'DOE25'!G233+'DOE25'!G276+'DOE25'!G295+'DOE25'!G314</f>
        <v>96834.09</v>
      </c>
    </row>
    <row r="10" spans="1:3" x14ac:dyDescent="0.2">
      <c r="A10" t="s">
        <v>778</v>
      </c>
      <c r="B10" s="240">
        <v>258499.71</v>
      </c>
      <c r="C10" s="240">
        <v>91348.39</v>
      </c>
    </row>
    <row r="11" spans="1:3" x14ac:dyDescent="0.2">
      <c r="A11" t="s">
        <v>779</v>
      </c>
      <c r="B11" s="240">
        <v>15523.56</v>
      </c>
      <c r="C11" s="240">
        <v>5485.7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274023.27</v>
      </c>
      <c r="C13" s="231">
        <f>SUM(C10:C12)</f>
        <v>96834.09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132598.16</v>
      </c>
      <c r="C18" s="229">
        <f>'DOE25'!G198+'DOE25'!G216+'DOE25'!G234+'DOE25'!G277+'DOE25'!G296+'DOE25'!G315</f>
        <v>55779.66</v>
      </c>
    </row>
    <row r="19" spans="1:3" x14ac:dyDescent="0.2">
      <c r="A19" t="s">
        <v>778</v>
      </c>
      <c r="B19" s="240">
        <f>45193.53+1906.39</f>
        <v>47099.92</v>
      </c>
      <c r="C19" s="240">
        <v>19288.740000000002</v>
      </c>
    </row>
    <row r="20" spans="1:3" x14ac:dyDescent="0.2">
      <c r="A20" t="s">
        <v>779</v>
      </c>
      <c r="B20" s="240">
        <v>85498.240000000005</v>
      </c>
      <c r="C20" s="240">
        <v>36490.92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132598.16</v>
      </c>
      <c r="C22" s="231">
        <f>SUM(C19:C21)</f>
        <v>55779.66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8120.7800000000007</v>
      </c>
      <c r="C36" s="235">
        <f>'DOE25'!G200+'DOE25'!G218+'DOE25'!G236+'DOE25'!G279+'DOE25'!G298+'DOE25'!G317</f>
        <v>1799.23</v>
      </c>
    </row>
    <row r="37" spans="1:3" x14ac:dyDescent="0.2">
      <c r="A37" t="s">
        <v>778</v>
      </c>
      <c r="B37" s="240">
        <v>5639.75</v>
      </c>
      <c r="C37" s="240">
        <v>1249.54</v>
      </c>
    </row>
    <row r="38" spans="1:3" x14ac:dyDescent="0.2">
      <c r="A38" t="s">
        <v>779</v>
      </c>
      <c r="B38" s="240">
        <v>2481.0300000000002</v>
      </c>
      <c r="C38" s="240">
        <v>549.69000000000005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8120.7800000000007</v>
      </c>
      <c r="C40" s="231">
        <f>SUM(C37:C39)</f>
        <v>1799.23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NELSON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987912.52</v>
      </c>
      <c r="D5" s="20">
        <f>SUM('DOE25'!L197:L200)+SUM('DOE25'!L215:L218)+SUM('DOE25'!L233:L236)-F5-G5</f>
        <v>976736.1</v>
      </c>
      <c r="E5" s="243"/>
      <c r="F5" s="255">
        <f>SUM('DOE25'!J197:J200)+SUM('DOE25'!J215:J218)+SUM('DOE25'!J233:J236)</f>
        <v>11101.42</v>
      </c>
      <c r="G5" s="53">
        <f>SUM('DOE25'!K197:K200)+SUM('DOE25'!K215:K218)+SUM('DOE25'!K233:K236)</f>
        <v>75</v>
      </c>
      <c r="H5" s="259"/>
    </row>
    <row r="6" spans="1:9" x14ac:dyDescent="0.2">
      <c r="A6" s="32">
        <v>2100</v>
      </c>
      <c r="B6" t="s">
        <v>800</v>
      </c>
      <c r="C6" s="245">
        <f t="shared" si="0"/>
        <v>59034.17</v>
      </c>
      <c r="D6" s="20">
        <f>'DOE25'!L202+'DOE25'!L220+'DOE25'!L238-F6-G6</f>
        <v>59034.17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7742.2699999999995</v>
      </c>
      <c r="D7" s="20">
        <f>'DOE25'!L203+'DOE25'!L221+'DOE25'!L239-F7-G7</f>
        <v>7742.2699999999995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79874.999999999985</v>
      </c>
      <c r="D8" s="243"/>
      <c r="E8" s="20">
        <f>'DOE25'!L204+'DOE25'!L222+'DOE25'!L240-F8-G8-D9-D11</f>
        <v>79816.999999999985</v>
      </c>
      <c r="F8" s="255">
        <f>'DOE25'!J204+'DOE25'!J222+'DOE25'!J240</f>
        <v>0</v>
      </c>
      <c r="G8" s="53">
        <f>'DOE25'!K204+'DOE25'!K222+'DOE25'!K240</f>
        <v>58</v>
      </c>
      <c r="H8" s="259"/>
    </row>
    <row r="9" spans="1:9" x14ac:dyDescent="0.2">
      <c r="A9" s="32">
        <v>2310</v>
      </c>
      <c r="B9" t="s">
        <v>817</v>
      </c>
      <c r="C9" s="245">
        <f t="shared" si="0"/>
        <v>30704.02</v>
      </c>
      <c r="D9" s="244">
        <v>30704.02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6050</v>
      </c>
      <c r="D10" s="243"/>
      <c r="E10" s="244">
        <v>6050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15300</v>
      </c>
      <c r="D11" s="244">
        <v>15300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189072.54</v>
      </c>
      <c r="D12" s="20">
        <f>'DOE25'!L205+'DOE25'!L223+'DOE25'!L241-F12-G12</f>
        <v>185026.04</v>
      </c>
      <c r="E12" s="243"/>
      <c r="F12" s="255">
        <f>'DOE25'!J205+'DOE25'!J223+'DOE25'!J241</f>
        <v>4046.5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68911.390000000014</v>
      </c>
      <c r="D14" s="20">
        <f>'DOE25'!L207+'DOE25'!L225+'DOE25'!L243-F14-G14</f>
        <v>68016.390000000014</v>
      </c>
      <c r="E14" s="243"/>
      <c r="F14" s="255">
        <f>'DOE25'!J207+'DOE25'!J225+'DOE25'!J243</f>
        <v>895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92313</v>
      </c>
      <c r="D15" s="20">
        <f>'DOE25'!L208+'DOE25'!L226+'DOE25'!L244-F15-G15</f>
        <v>92313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1035.75</v>
      </c>
      <c r="D16" s="243"/>
      <c r="E16" s="20">
        <f>'DOE25'!L209+'DOE25'!L227+'DOE25'!L245-F16-G16</f>
        <v>1035.75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15411.35</v>
      </c>
      <c r="D22" s="243"/>
      <c r="E22" s="243"/>
      <c r="F22" s="255">
        <f>'DOE25'!L255+'DOE25'!L336</f>
        <v>15411.35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9526.15</v>
      </c>
      <c r="D29" s="20">
        <f>'DOE25'!L358+'DOE25'!L359+'DOE25'!L360-'DOE25'!I367-F29-G29</f>
        <v>9526.15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48807.909999999996</v>
      </c>
      <c r="D31" s="20">
        <f>'DOE25'!L290+'DOE25'!L309+'DOE25'!L328+'DOE25'!L333+'DOE25'!L334+'DOE25'!L335-F31-G31</f>
        <v>47210.42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1597.49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1491608.56</v>
      </c>
      <c r="E33" s="246">
        <f>SUM(E5:E31)</f>
        <v>86902.749999999985</v>
      </c>
      <c r="F33" s="246">
        <f>SUM(F5:F31)</f>
        <v>31454.27</v>
      </c>
      <c r="G33" s="246">
        <f>SUM(G5:G31)</f>
        <v>1730.49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86902.749999999985</v>
      </c>
      <c r="E35" s="249"/>
    </row>
    <row r="36" spans="2:8" ht="12" thickTop="1" x14ac:dyDescent="0.2">
      <c r="B36" t="s">
        <v>814</v>
      </c>
      <c r="D36" s="20">
        <f>D33</f>
        <v>1491608.56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NELSON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258226.65999999997</v>
      </c>
      <c r="D8" s="95">
        <f>'DOE25'!G9</f>
        <v>0</v>
      </c>
      <c r="E8" s="95">
        <f>'DOE25'!H9</f>
        <v>9730.49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183608.49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7314.29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39714.82</v>
      </c>
      <c r="D12" s="95">
        <f>'DOE25'!G13</f>
        <v>0</v>
      </c>
      <c r="E12" s="95">
        <f>'DOE25'!H13</f>
        <v>9396.2800000000007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102.5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305358.26999999996</v>
      </c>
      <c r="D18" s="41">
        <f>SUM(D8:D17)</f>
        <v>0</v>
      </c>
      <c r="E18" s="41">
        <f>SUM(E8:E17)</f>
        <v>19126.77</v>
      </c>
      <c r="F18" s="41">
        <f>SUM(F8:F17)</f>
        <v>0</v>
      </c>
      <c r="G18" s="41">
        <f>SUM(G8:G17)</f>
        <v>183608.49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7314.29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95.66</v>
      </c>
      <c r="D22" s="95">
        <f>'DOE25'!G23</f>
        <v>0</v>
      </c>
      <c r="E22" s="95">
        <f>'DOE25'!H23</f>
        <v>304.06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8643.1299999999992</v>
      </c>
      <c r="D23" s="95">
        <f>'DOE25'!G24</f>
        <v>0</v>
      </c>
      <c r="E23" s="95">
        <f>'DOE25'!H24</f>
        <v>43.74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1061.7</v>
      </c>
      <c r="D27" s="95">
        <f>'DOE25'!G28</f>
        <v>0</v>
      </c>
      <c r="E27" s="95">
        <f>'DOE25'!H28</f>
        <v>1734.19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9800.49</v>
      </c>
      <c r="D31" s="41">
        <f>SUM(D21:D30)</f>
        <v>0</v>
      </c>
      <c r="E31" s="41">
        <f>SUM(E21:E30)</f>
        <v>9396.2800000000007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9631.7999999999993</v>
      </c>
      <c r="F47" s="95">
        <f>'DOE25'!I48</f>
        <v>0</v>
      </c>
      <c r="G47" s="95">
        <f>'DOE25'!J48</f>
        <v>183608.49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862.83</v>
      </c>
      <c r="D48" s="95">
        <f>'DOE25'!G49</f>
        <v>0</v>
      </c>
      <c r="E48" s="95">
        <f>'DOE25'!H49</f>
        <v>98.69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264694.95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295557.78000000003</v>
      </c>
      <c r="D50" s="41">
        <f>SUM(D34:D49)</f>
        <v>0</v>
      </c>
      <c r="E50" s="41">
        <f>SUM(E34:E49)</f>
        <v>9730.49</v>
      </c>
      <c r="F50" s="41">
        <f>SUM(F34:F49)</f>
        <v>0</v>
      </c>
      <c r="G50" s="41">
        <f>SUM(G34:G49)</f>
        <v>183608.49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305358.27</v>
      </c>
      <c r="D51" s="41">
        <f>D50+D31</f>
        <v>0</v>
      </c>
      <c r="E51" s="41">
        <f>E50+E31</f>
        <v>19126.77</v>
      </c>
      <c r="F51" s="41">
        <f>F50+F31</f>
        <v>0</v>
      </c>
      <c r="G51" s="41">
        <f>G50+G31</f>
        <v>183608.49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832448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473635.7</v>
      </c>
      <c r="D57" s="24" t="s">
        <v>288</v>
      </c>
      <c r="E57" s="95">
        <f>'DOE25'!H79</f>
        <v>21452.5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165.62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1172.1300000000001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32143.960000000003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505945.28</v>
      </c>
      <c r="D62" s="130">
        <f>SUM(D57:D61)</f>
        <v>0</v>
      </c>
      <c r="E62" s="130">
        <f>SUM(E57:E61)</f>
        <v>21452.5</v>
      </c>
      <c r="F62" s="130">
        <f>SUM(F57:F61)</f>
        <v>0</v>
      </c>
      <c r="G62" s="130">
        <f>SUM(G57:G61)</f>
        <v>1172.1300000000001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1338393.28</v>
      </c>
      <c r="D63" s="22">
        <f>D56+D62</f>
        <v>0</v>
      </c>
      <c r="E63" s="22">
        <f>E56+E62</f>
        <v>21452.5</v>
      </c>
      <c r="F63" s="22">
        <f>F56+F62</f>
        <v>0</v>
      </c>
      <c r="G63" s="22">
        <f>G56+G62</f>
        <v>1172.1300000000001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87465.36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287652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375117.36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375117.36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2003.63</v>
      </c>
      <c r="D88" s="95">
        <f>SUM('DOE25'!G153:G161)</f>
        <v>0</v>
      </c>
      <c r="E88" s="95">
        <f>SUM('DOE25'!H153:H161)</f>
        <v>31587.730000000003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2003.63</v>
      </c>
      <c r="D91" s="131">
        <f>SUM(D85:D90)</f>
        <v>0</v>
      </c>
      <c r="E91" s="131">
        <f>SUM(E85:E90)</f>
        <v>31587.730000000003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9526.15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9526.15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764</v>
      </c>
      <c r="C104" s="86">
        <f>C63+C81+C91+C103</f>
        <v>1715514.27</v>
      </c>
      <c r="D104" s="86">
        <f>D63+D81+D91+D103</f>
        <v>9526.15</v>
      </c>
      <c r="E104" s="86">
        <f>E63+E81+E91+E103</f>
        <v>53040.23</v>
      </c>
      <c r="F104" s="86">
        <f>F63+F81+F91+F103</f>
        <v>0</v>
      </c>
      <c r="G104" s="86">
        <f>G63+G81+G103</f>
        <v>31172.13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670113.86</v>
      </c>
      <c r="D109" s="24" t="s">
        <v>288</v>
      </c>
      <c r="E109" s="95">
        <f>('DOE25'!L276)+('DOE25'!L295)+('DOE25'!L314)</f>
        <v>31808.66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315906.74</v>
      </c>
      <c r="D110" s="24" t="s">
        <v>288</v>
      </c>
      <c r="E110" s="95">
        <f>('DOE25'!L277)+('DOE25'!L296)+('DOE25'!L315)</f>
        <v>1409.2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1891.92</v>
      </c>
      <c r="D112" s="24" t="s">
        <v>288</v>
      </c>
      <c r="E112" s="95">
        <f>+('DOE25'!L279)+('DOE25'!L298)+('DOE25'!L317)</f>
        <v>8448.15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987912.52</v>
      </c>
      <c r="D115" s="86">
        <f>SUM(D109:D114)</f>
        <v>0</v>
      </c>
      <c r="E115" s="86">
        <f>SUM(E109:E114)</f>
        <v>41666.01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59034.17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7742.2699999999995</v>
      </c>
      <c r="D119" s="24" t="s">
        <v>288</v>
      </c>
      <c r="E119" s="95">
        <f>+('DOE25'!L282)+('DOE25'!L301)+('DOE25'!L320)</f>
        <v>5544.41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125879.01999999999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189072.54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1597.49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68911.390000000014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92313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1035.75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9526.15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543988.14</v>
      </c>
      <c r="D128" s="86">
        <f>SUM(D118:D127)</f>
        <v>9526.15</v>
      </c>
      <c r="E128" s="86">
        <f>SUM(E118:E127)</f>
        <v>7141.9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15411.35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9526.15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25349.02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5823.11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-1172.130000000001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54937.5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1586838.1600000001</v>
      </c>
      <c r="D145" s="86">
        <f>(D115+D128+D144)</f>
        <v>9526.15</v>
      </c>
      <c r="E145" s="86">
        <f>(E115+E128+E144)</f>
        <v>48807.91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NELSON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15768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15768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701923</v>
      </c>
      <c r="D10" s="182">
        <f>ROUND((C10/$C$28)*100,1)</f>
        <v>44.1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317316</v>
      </c>
      <c r="D11" s="182">
        <f>ROUND((C11/$C$28)*100,1)</f>
        <v>20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10340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59034</v>
      </c>
      <c r="D15" s="182">
        <f t="shared" ref="D15:D27" si="0">ROUND((C15/$C$28)*100,1)</f>
        <v>3.7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13287</v>
      </c>
      <c r="D16" s="182">
        <f t="shared" si="0"/>
        <v>0.8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126915</v>
      </c>
      <c r="D17" s="182">
        <f t="shared" si="0"/>
        <v>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189073</v>
      </c>
      <c r="D18" s="182">
        <f t="shared" si="0"/>
        <v>11.9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1597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68911</v>
      </c>
      <c r="D20" s="182">
        <f t="shared" si="0"/>
        <v>4.3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92313</v>
      </c>
      <c r="D21" s="182">
        <f t="shared" si="0"/>
        <v>5.8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9526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1590235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15411</v>
      </c>
    </row>
    <row r="30" spans="1:4" x14ac:dyDescent="0.2">
      <c r="B30" s="187" t="s">
        <v>728</v>
      </c>
      <c r="C30" s="180">
        <f>SUM(C28:C29)</f>
        <v>1605646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832448</v>
      </c>
      <c r="D35" s="182">
        <f t="shared" ref="D35:D40" si="1">ROUND((C35/$C$41)*100,1)</f>
        <v>47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528569.90999999992</v>
      </c>
      <c r="D36" s="182">
        <f t="shared" si="1"/>
        <v>29.9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375117</v>
      </c>
      <c r="D37" s="182">
        <f t="shared" si="1"/>
        <v>21.2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33591</v>
      </c>
      <c r="D39" s="182">
        <f t="shared" si="1"/>
        <v>1.9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1769725.91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NELSON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2017-09-08T15:14:01Z</cp:lastPrinted>
  <dcterms:created xsi:type="dcterms:W3CDTF">1997-12-04T19:04:30Z</dcterms:created>
  <dcterms:modified xsi:type="dcterms:W3CDTF">2017-11-29T17:45:38Z</dcterms:modified>
</cp:coreProperties>
</file>