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F50" i="1" l="1"/>
  <c r="H30" i="1"/>
  <c r="G28" i="1"/>
  <c r="J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E125" i="2" s="1"/>
  <c r="L314" i="1"/>
  <c r="L315" i="1"/>
  <c r="L316" i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79" i="1"/>
  <c r="F94" i="1"/>
  <c r="F111" i="1"/>
  <c r="G111" i="1"/>
  <c r="H79" i="1"/>
  <c r="E57" i="2" s="1"/>
  <c r="H94" i="1"/>
  <c r="E58" i="2" s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2" i="2"/>
  <c r="C113" i="2"/>
  <c r="E113" i="2"/>
  <c r="E114" i="2"/>
  <c r="D115" i="2"/>
  <c r="F115" i="2"/>
  <c r="G115" i="2"/>
  <c r="C118" i="2"/>
  <c r="E119" i="2"/>
  <c r="C122" i="2"/>
  <c r="E123" i="2"/>
  <c r="E124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G452" i="1"/>
  <c r="H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0" i="1"/>
  <c r="G651" i="1"/>
  <c r="G652" i="1"/>
  <c r="H652" i="1"/>
  <c r="G653" i="1"/>
  <c r="H653" i="1"/>
  <c r="G654" i="1"/>
  <c r="H654" i="1"/>
  <c r="H655" i="1"/>
  <c r="J655" i="1" s="1"/>
  <c r="I257" i="1"/>
  <c r="I271" i="1" s="1"/>
  <c r="A40" i="12"/>
  <c r="D17" i="13"/>
  <c r="C17" i="13" s="1"/>
  <c r="D6" i="13"/>
  <c r="C6" i="13" s="1"/>
  <c r="G157" i="2"/>
  <c r="D19" i="13"/>
  <c r="C19" i="13" s="1"/>
  <c r="D14" i="13"/>
  <c r="C14" i="13" s="1"/>
  <c r="E13" i="13"/>
  <c r="C13" i="13" s="1"/>
  <c r="E78" i="2"/>
  <c r="I169" i="1"/>
  <c r="F169" i="1"/>
  <c r="J140" i="1"/>
  <c r="F571" i="1"/>
  <c r="L401" i="1"/>
  <c r="C139" i="2" s="1"/>
  <c r="F22" i="13"/>
  <c r="C22" i="13" s="1"/>
  <c r="L570" i="1"/>
  <c r="L534" i="1" l="1"/>
  <c r="G552" i="1"/>
  <c r="A31" i="12"/>
  <c r="L427" i="1"/>
  <c r="J476" i="1"/>
  <c r="H626" i="1" s="1"/>
  <c r="F476" i="1"/>
  <c r="H622" i="1" s="1"/>
  <c r="J622" i="1" s="1"/>
  <c r="H545" i="1"/>
  <c r="G545" i="1"/>
  <c r="F552" i="1"/>
  <c r="K605" i="1"/>
  <c r="G648" i="1" s="1"/>
  <c r="J640" i="1"/>
  <c r="J641" i="1"/>
  <c r="I460" i="1"/>
  <c r="I452" i="1"/>
  <c r="F461" i="1"/>
  <c r="H639" i="1" s="1"/>
  <c r="J639" i="1" s="1"/>
  <c r="H476" i="1"/>
  <c r="H624" i="1" s="1"/>
  <c r="J624" i="1" s="1"/>
  <c r="I476" i="1"/>
  <c r="H625" i="1" s="1"/>
  <c r="J625" i="1" s="1"/>
  <c r="D50" i="2"/>
  <c r="E31" i="2"/>
  <c r="G476" i="1"/>
  <c r="H623" i="1" s="1"/>
  <c r="J623" i="1" s="1"/>
  <c r="F18" i="2"/>
  <c r="D31" i="2"/>
  <c r="D18" i="2"/>
  <c r="J617" i="1"/>
  <c r="C18" i="2"/>
  <c r="G81" i="2"/>
  <c r="H140" i="1"/>
  <c r="F78" i="2"/>
  <c r="F81" i="2" s="1"/>
  <c r="C78" i="2"/>
  <c r="C81" i="2" s="1"/>
  <c r="G645" i="1"/>
  <c r="E103" i="2"/>
  <c r="G192" i="1"/>
  <c r="F192" i="1"/>
  <c r="D91" i="2"/>
  <c r="D62" i="2"/>
  <c r="D63" i="2" s="1"/>
  <c r="C91" i="2"/>
  <c r="F112" i="1"/>
  <c r="E62" i="2"/>
  <c r="E63" i="2" s="1"/>
  <c r="J643" i="1"/>
  <c r="C35" i="10"/>
  <c r="F661" i="1"/>
  <c r="L393" i="1"/>
  <c r="C138" i="2" s="1"/>
  <c r="H408" i="1"/>
  <c r="H644" i="1" s="1"/>
  <c r="J644" i="1" s="1"/>
  <c r="G408" i="1"/>
  <c r="H645" i="1" s="1"/>
  <c r="J645" i="1" s="1"/>
  <c r="L419" i="1"/>
  <c r="G161" i="2"/>
  <c r="G156" i="2"/>
  <c r="K598" i="1"/>
  <c r="G647" i="1" s="1"/>
  <c r="J647" i="1" s="1"/>
  <c r="J571" i="1"/>
  <c r="L565" i="1"/>
  <c r="L571" i="1" s="1"/>
  <c r="K571" i="1"/>
  <c r="I571" i="1"/>
  <c r="L539" i="1"/>
  <c r="K550" i="1"/>
  <c r="H552" i="1"/>
  <c r="L529" i="1"/>
  <c r="J545" i="1"/>
  <c r="I545" i="1"/>
  <c r="K549" i="1"/>
  <c r="K545" i="1"/>
  <c r="K551" i="1"/>
  <c r="L524" i="1"/>
  <c r="F130" i="2"/>
  <c r="F144" i="2" s="1"/>
  <c r="F145" i="2" s="1"/>
  <c r="E142" i="2"/>
  <c r="L351" i="1"/>
  <c r="C25" i="10"/>
  <c r="G338" i="1"/>
  <c r="G352" i="1" s="1"/>
  <c r="L328" i="1"/>
  <c r="C19" i="10"/>
  <c r="E121" i="2"/>
  <c r="H338" i="1"/>
  <c r="H352" i="1" s="1"/>
  <c r="L309" i="1"/>
  <c r="F338" i="1"/>
  <c r="F352" i="1" s="1"/>
  <c r="E111" i="2"/>
  <c r="C132" i="2"/>
  <c r="L270" i="1"/>
  <c r="L256" i="1"/>
  <c r="C114" i="2"/>
  <c r="C115" i="2" s="1"/>
  <c r="C18" i="10"/>
  <c r="H257" i="1"/>
  <c r="H271" i="1" s="1"/>
  <c r="G257" i="1"/>
  <c r="G271" i="1" s="1"/>
  <c r="C123" i="2"/>
  <c r="J651" i="1"/>
  <c r="C16" i="10"/>
  <c r="C10" i="10"/>
  <c r="C111" i="2"/>
  <c r="L247" i="1"/>
  <c r="H660" i="1" s="1"/>
  <c r="H664" i="1" s="1"/>
  <c r="C20" i="10"/>
  <c r="C119" i="2"/>
  <c r="C11" i="10"/>
  <c r="J257" i="1"/>
  <c r="J271" i="1" s="1"/>
  <c r="E16" i="13"/>
  <c r="C16" i="13" s="1"/>
  <c r="C17" i="10"/>
  <c r="L211" i="1"/>
  <c r="E122" i="2"/>
  <c r="E128" i="2" s="1"/>
  <c r="C29" i="10"/>
  <c r="D15" i="13"/>
  <c r="C15" i="13" s="1"/>
  <c r="K257" i="1"/>
  <c r="K271" i="1" s="1"/>
  <c r="L544" i="1"/>
  <c r="D127" i="2"/>
  <c r="D128" i="2" s="1"/>
  <c r="D145" i="2" s="1"/>
  <c r="C57" i="2"/>
  <c r="C62" i="2" s="1"/>
  <c r="C63" i="2" s="1"/>
  <c r="F662" i="1"/>
  <c r="I662" i="1" s="1"/>
  <c r="C13" i="10"/>
  <c r="L290" i="1"/>
  <c r="L382" i="1"/>
  <c r="G636" i="1" s="1"/>
  <c r="J636" i="1" s="1"/>
  <c r="E109" i="2"/>
  <c r="H25" i="13"/>
  <c r="L614" i="1"/>
  <c r="E112" i="2"/>
  <c r="F56" i="2"/>
  <c r="C21" i="10"/>
  <c r="C12" i="10"/>
  <c r="C15" i="10"/>
  <c r="D5" i="13"/>
  <c r="C5" i="13" s="1"/>
  <c r="J552" i="1"/>
  <c r="D29" i="13"/>
  <c r="C29" i="13" s="1"/>
  <c r="K500" i="1"/>
  <c r="I52" i="1"/>
  <c r="H620" i="1" s="1"/>
  <c r="J620" i="1" s="1"/>
  <c r="C121" i="2"/>
  <c r="G661" i="1"/>
  <c r="I661" i="1" s="1"/>
  <c r="E8" i="13"/>
  <c r="C8" i="13" s="1"/>
  <c r="D12" i="13"/>
  <c r="C12" i="13" s="1"/>
  <c r="K338" i="1"/>
  <c r="K352" i="1" s="1"/>
  <c r="H52" i="1"/>
  <c r="H619" i="1" s="1"/>
  <c r="J619" i="1" s="1"/>
  <c r="C32" i="10"/>
  <c r="G112" i="1"/>
  <c r="K503" i="1"/>
  <c r="G649" i="1"/>
  <c r="J649" i="1" s="1"/>
  <c r="C124" i="2"/>
  <c r="C120" i="2"/>
  <c r="E81" i="2"/>
  <c r="L2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L545" i="1" l="1"/>
  <c r="I461" i="1"/>
  <c r="H642" i="1" s="1"/>
  <c r="J642" i="1" s="1"/>
  <c r="G51" i="2"/>
  <c r="D51" i="2"/>
  <c r="E51" i="2"/>
  <c r="F51" i="2"/>
  <c r="G104" i="2"/>
  <c r="F104" i="2"/>
  <c r="E104" i="2"/>
  <c r="C36" i="10"/>
  <c r="C104" i="2"/>
  <c r="F193" i="1"/>
  <c r="G627" i="1" s="1"/>
  <c r="J627" i="1" s="1"/>
  <c r="D104" i="2"/>
  <c r="H646" i="1"/>
  <c r="J646" i="1" s="1"/>
  <c r="K552" i="1"/>
  <c r="E115" i="2"/>
  <c r="E145" i="2" s="1"/>
  <c r="L338" i="1"/>
  <c r="L352" i="1" s="1"/>
  <c r="G633" i="1" s="1"/>
  <c r="J633" i="1" s="1"/>
  <c r="H667" i="1"/>
  <c r="H672" i="1"/>
  <c r="C6" i="10" s="1"/>
  <c r="C128" i="2"/>
  <c r="C145" i="2" s="1"/>
  <c r="H648" i="1"/>
  <c r="J648" i="1" s="1"/>
  <c r="F660" i="1"/>
  <c r="F664" i="1" s="1"/>
  <c r="L257" i="1"/>
  <c r="L271" i="1" s="1"/>
  <c r="G632" i="1" s="1"/>
  <c r="J632" i="1" s="1"/>
  <c r="C25" i="13"/>
  <c r="H33" i="13"/>
  <c r="C28" i="10"/>
  <c r="D24" i="10" s="1"/>
  <c r="E33" i="13"/>
  <c r="D35" i="13" s="1"/>
  <c r="D31" i="13"/>
  <c r="C31" i="13" s="1"/>
  <c r="G660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10" i="10" l="1"/>
  <c r="D13" i="10"/>
  <c r="D22" i="10"/>
  <c r="D15" i="10"/>
  <c r="D11" i="10"/>
  <c r="D12" i="10"/>
  <c r="C30" i="10"/>
  <c r="D25" i="10"/>
  <c r="D20" i="10"/>
  <c r="D23" i="10"/>
  <c r="D21" i="10"/>
  <c r="D18" i="10"/>
  <c r="D16" i="10"/>
  <c r="D26" i="10"/>
  <c r="D19" i="10"/>
  <c r="D27" i="10"/>
  <c r="D17" i="10"/>
  <c r="G664" i="1"/>
  <c r="I660" i="1"/>
  <c r="I664" i="1" s="1"/>
  <c r="I672" i="1" s="1"/>
  <c r="C7" i="10" s="1"/>
  <c r="D33" i="13"/>
  <c r="D36" i="13" s="1"/>
  <c r="F672" i="1"/>
  <c r="C4" i="10" s="1"/>
  <c r="F667" i="1"/>
  <c r="H656" i="1"/>
  <c r="C41" i="10"/>
  <c r="D38" i="10" s="1"/>
  <c r="I667" i="1" l="1"/>
  <c r="D28" i="10"/>
  <c r="G667" i="1"/>
  <c r="G672" i="1"/>
  <c r="C5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<sst xmlns="http://schemas.openxmlformats.org/spreadsheetml/2006/main" count="3959" uniqueCount="917">
  <si>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</si>
  <si>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</si>
  <si>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</si>
  <si>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</si>
  <si>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</si>
  <si>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</si>
  <si>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</si>
  <si>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</si>
  <si>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</si>
  <si>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</si>
  <si>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</si>
  <si>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</si>
  <si>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</si>
  <si>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</si>
  <si>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</si>
  <si>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</si>
  <si>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</si>
  <si>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</si>
  <si>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</si>
  <si>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</si>
  <si>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</si>
  <si>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</si>
  <si>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</si>
  <si>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</si>
  <si>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</si>
  <si>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</si>
  <si>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</si>
  <si>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</si>
  <si>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</si>
  <si>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</si>
  <si>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</si>
  <si>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</si>
  <si>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</si>
  <si>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</si>
  <si>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</si>
  <si>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</si>
  <si>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</si>
  <si>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</si>
  <si>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</si>
  <si>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</si>
  <si>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</si>
  <si>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</si>
  <si>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</si>
  <si>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</si>
  <si>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</si>
  <si>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</si>
  <si>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</si>
  <si>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</si>
  <si>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</si>
  <si>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</si>
  <si>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</si>
  <si>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</si>
  <si>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</si>
  <si>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</si>
  <si>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</si>
  <si>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</si>
  <si>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</si>
  <si>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</si>
  <si>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</si>
  <si>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</si>
  <si>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</si>
  <si>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</si>
  <si>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</si>
  <si>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</si>
  <si>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</si>
  <si>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</si>
  <si>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</si>
  <si>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</si>
  <si>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</si>
  <si>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</si>
  <si>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</si>
  <si>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</si>
  <si>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</si>
  <si>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</si>
  <si>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</si>
  <si>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</si>
  <si>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</si>
  <si>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</si>
  <si>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</si>
  <si>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</si>
  <si>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</si>
  <si>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</si>
  <si>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</si>
  <si>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</si>
  <si>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</si>
  <si>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</si>
  <si>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</si>
  <si>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</si>
  <si>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</si>
  <si>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</si>
  <si>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</si>
  <si>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</si>
  <si>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</si>
  <si>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</si>
  <si>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</si>
  <si>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</si>
  <si>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</si>
  <si>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</si>
  <si>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</si>
  <si>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</si>
  <si>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</si>
  <si>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</si>
  <si>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</si>
  <si>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</si>
  <si>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</si>
  <si>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</si>
  <si>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</si>
  <si>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</si>
  <si>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</si>
  <si>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</si>
  <si>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</si>
  <si>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</si>
  <si>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</si>
  <si>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</si>
  <si>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</si>
  <si>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</si>
  <si>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</si>
  <si>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</si>
  <si>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</si>
  <si>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</si>
  <si>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</si>
  <si>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</si>
  <si>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</si>
  <si>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</si>
  <si>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</si>
  <si>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</si>
  <si>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</si>
  <si>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</si>
  <si>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</si>
  <si>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</si>
  <si>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</si>
  <si>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</si>
  <si>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</si>
  <si>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</si>
  <si>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</si>
  <si>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</si>
  <si>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</si>
  <si>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</si>
  <si>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</si>
  <si>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</si>
  <si>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</si>
  <si>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</si>
  <si>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</si>
  <si>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</si>
  <si>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</si>
  <si>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</si>
  <si>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</si>
  <si>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</si>
  <si>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</si>
  <si>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</si>
  <si>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</si>
  <si>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</si>
  <si>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</si>
  <si>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</si>
  <si>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</si>
  <si>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</si>
  <si>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</si>
  <si>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</si>
  <si>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</si>
  <si>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</si>
  <si>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</si>
  <si>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</si>
  <si>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</si>
  <si>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</si>
  <si>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</si>
  <si>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</si>
  <si>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</si>
  <si>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</si>
  <si>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</si>
  <si>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</si>
  <si>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</si>
  <si>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</si>
  <si>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</si>
  <si>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</si>
  <si>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</si>
  <si>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</si>
  <si>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</si>
  <si>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</si>
  <si>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</si>
  <si>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</si>
  <si>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</si>
  <si>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</si>
  <si>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</si>
  <si>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</si>
  <si>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</si>
  <si>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</si>
  <si>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</si>
  <si>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</si>
  <si>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</si>
  <si>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</si>
  <si>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</si>
  <si>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</si>
  <si>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</si>
  <si>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</si>
  <si>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</si>
  <si>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</si>
  <si>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</si>
  <si>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</si>
  <si>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</si>
  <si>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</si>
  <si>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</si>
  <si>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</si>
  <si>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</si>
  <si>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</si>
  <si>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</si>
  <si>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</si>
  <si>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</si>
  <si>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</si>
  <si>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</si>
  <si>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</si>
  <si>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</si>
  <si>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</si>
  <si>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</si>
  <si>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</si>
  <si>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</si>
  <si>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</si>
  <si>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</si>
  <si>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</si>
  <si>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</si>
  <si>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</si>
  <si>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</si>
  <si>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</si>
  <si>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</si>
  <si>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</si>
  <si>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</si>
  <si>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</si>
  <si>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</si>
  <si>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</si>
  <si>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</si>
  <si>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</si>
  <si>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</si>
  <si>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</si>
  <si>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</si>
  <si>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</si>
  <si>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</si>
  <si>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</si>
  <si>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</si>
  <si>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</si>
  <si>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</si>
  <si>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</si>
  <si>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</si>
  <si>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</si>
  <si>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</si>
  <si>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</si>
  <si>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</si>
  <si>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</si>
  <si>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</si>
  <si>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</si>
  <si>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</si>
  <si>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</si>
  <si>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</si>
  <si>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</si>
  <si>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</si>
  <si>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</si>
  <si>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</si>
  <si>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</si>
  <si>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</si>
  <si>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</si>
  <si>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</si>
  <si>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</si>
  <si>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</si>
  <si>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</si>
  <si>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</si>
  <si>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</si>
  <si>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</si>
  <si>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</si>
  <si>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</si>
  <si>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</si>
  <si>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</si>
  <si>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</si>
  <si>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</si>
  <si>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</si>
  <si>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</si>
  <si>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</si>
  <si>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</si>
  <si>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</si>
  <si>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</si>
  <si>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</si>
  <si>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</si>
  <si>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</si>
  <si>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</si>
  <si>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</si>
  <si>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</si>
  <si>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</si>
  <si>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</si>
  <si>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</si>
  <si>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</si>
  <si>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</si>
  <si>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</si>
  <si>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</si>
  <si>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</si>
  <si>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</si>
  <si>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</si>
  <si>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</si>
  <si>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</si>
  <si>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</si>
  <si>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</si>
  <si>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</si>
  <si>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</si>
  <si>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</si>
  <si>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</si>
  <si>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</si>
  <si>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</si>
  <si>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</si>
  <si>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</si>
  <si>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</si>
  <si>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</si>
  <si>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</si>
  <si>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</si>
  <si>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</si>
  <si>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</si>
  <si>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</si>
  <si>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</si>
  <si>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</si>
  <si>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</si>
  <si>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</si>
  <si>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</si>
  <si>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</si>
  <si>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</si>
  <si>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</si>
  <si>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</si>
  <si>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</si>
  <si>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</si>
  <si>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</si>
  <si>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</si>
  <si>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</si>
  <si>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</si>
  <si>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</si>
  <si>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</si>
  <si>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</si>
  <si>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</si>
  <si>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</si>
  <si>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</si>
  <si>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</si>
  <si>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</si>
  <si>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</si>
  <si>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</si>
  <si>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</si>
  <si>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</si>
  <si>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</si>
  <si>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</si>
  <si>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</si>
  <si>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</si>
  <si>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</si>
  <si>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</si>
  <si>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</si>
  <si>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</si>
  <si>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</si>
  <si>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</si>
  <si>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</si>
  <si>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</si>
  <si>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</si>
  <si>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</si>
  <si>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</si>
  <si>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</si>
  <si>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</si>
  <si>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</si>
  <si>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</si>
  <si>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</si>
  <si>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</si>
  <si>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</si>
  <si>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</si>
  <si>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</si>
  <si>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</si>
  <si>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</si>
  <si>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</si>
  <si>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</si>
  <si>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</si>
  <si>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</si>
  <si>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</si>
  <si>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</si>
  <si>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</si>
  <si>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</si>
  <si>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</si>
  <si>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</si>
  <si>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</si>
  <si>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</si>
  <si>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</si>
  <si>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</si>
  <si>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</si>
  <si>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</si>
  <si>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</si>
  <si>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</si>
  <si>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</si>
  <si>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</si>
  <si>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</si>
  <si>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</si>
  <si>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</si>
  <si>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</si>
  <si>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</si>
  <si>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</si>
  <si>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</si>
  <si>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</si>
  <si>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</si>
  <si>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</si>
  <si>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</si>
  <si>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</si>
  <si>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</si>
  <si>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</si>
  <si>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</si>
  <si>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</si>
  <si>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</si>
  <si>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</si>
  <si>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</si>
  <si>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</si>
  <si>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</si>
  <si>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</si>
  <si>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</si>
  <si>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</si>
  <si>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</si>
  <si>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</si>
  <si>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</si>
  <si>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</si>
  <si>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</si>
  <si>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</si>
  <si>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</si>
  <si>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</si>
  <si>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</si>
  <si>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</si>
  <si>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</si>
  <si>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</si>
  <si>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</si>
  <si>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</si>
  <si>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</si>
  <si>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</si>
  <si>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</si>
  <si>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</si>
  <si>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</si>
  <si>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</si>
  <si>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</si>
  <si>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</si>
  <si>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</si>
  <si>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</si>
  <si>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</si>
  <si>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</si>
  <si>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</si>
  <si>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</si>
  <si>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</si>
  <si>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</si>
  <si>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</si>
  <si>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</si>
  <si>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</si>
  <si>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</si>
  <si>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</si>
  <si>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</si>
  <si>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</si>
  <si>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</si>
  <si>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</si>
  <si>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</si>
  <si>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</si>
  <si>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</si>
  <si>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</si>
  <si>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</si>
  <si>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</si>
  <si>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</si>
  <si>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</si>
  <si>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</si>
  <si>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</si>
  <si>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</si>
  <si>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</si>
  <si>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</si>
  <si>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</si>
  <si>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</si>
  <si>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</si>
  <si>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</si>
  <si>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</si>
  <si>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</si>
  <si>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</si>
  <si>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</si>
  <si>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</si>
  <si>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</si>
  <si>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</si>
  <si>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</si>
  <si>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</si>
  <si>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</si>
  <si>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</si>
  <si>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</si>
  <si>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</si>
  <si>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</si>
  <si>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</si>
  <si>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</si>
  <si>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</si>
  <si>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</si>
  <si>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</si>
  <si>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</si>
  <si>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</si>
  <si>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</si>
  <si>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</si>
  <si>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</si>
  <si>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</si>
  <si>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</si>
  <si>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</si>
  <si>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</si>
  <si>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</si>
  <si>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</si>
  <si>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</si>
  <si>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</si>
  <si>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</si>
  <si>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</si>
  <si>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</si>
  <si>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</si>
  <si>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</si>
  <si>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</si>
  <si>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</si>
  <si>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</si>
  <si>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</si>
  <si>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</si>
  <si>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</si>
  <si>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</si>
  <si>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</si>
  <si>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</si>
  <si>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</si>
  <si>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</si>
  <si>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</si>
  <si>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</si>
  <si>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</si>
  <si>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</si>
  <si>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</si>
  <si>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</si>
  <si>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</si>
  <si>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</si>
  <si>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</si>
  <si>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</si>
  <si>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</si>
  <si>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</si>
  <si>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</si>
  <si>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</si>
  <si>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</si>
  <si>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</si>
  <si>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</si>
  <si>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</si>
  <si>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</si>
  <si>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</si>
  <si>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</si>
  <si>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</si>
  <si>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</si>
  <si>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</si>
  <si>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</si>
  <si>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</si>
  <si>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</si>
  <si>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</si>
  <si>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</si>
  <si>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</si>
  <si>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</si>
  <si>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</si>
  <si>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</si>
  <si>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</si>
  <si>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</si>
  <si>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</si>
  <si>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</si>
  <si>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</si>
  <si>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</si>
  <si>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</si>
  <si>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</si>
  <si>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</si>
  <si>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</si>
  <si>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</si>
  <si>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</si>
  <si>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</si>
  <si>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</si>
  <si>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</si>
  <si>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</si>
  <si>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</si>
  <si>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</si>
  <si>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</si>
  <si>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</si>
  <si>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</si>
  <si>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</si>
  <si>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</si>
  <si>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</si>
  <si>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</si>
  <si>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</si>
  <si>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</si>
  <si>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</si>
  <si>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</si>
  <si>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</si>
  <si>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</si>
  <si>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</si>
  <si>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</si>
  <si>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</si>
  <si>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</si>
  <si>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</si>
  <si>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</si>
  <si>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</si>
  <si>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</si>
  <si>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</si>
  <si>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</si>
  <si>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</si>
  <si>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</si>
  <si>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</si>
  <si>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</si>
  <si>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</si>
  <si>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</si>
  <si>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</si>
  <si>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</si>
  <si>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</si>
  <si>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</si>
  <si>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</si>
  <si>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</si>
  <si>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</si>
  <si>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</si>
  <si>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</si>
  <si>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</si>
  <si>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</si>
  <si>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</si>
  <si>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</si>
  <si>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</si>
  <si>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</si>
  <si>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</si>
  <si>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</si>
  <si>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</si>
  <si>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</si>
  <si>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</si>
  <si>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</si>
  <si>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</si>
  <si>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</si>
  <si>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</si>
  <si>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</si>
  <si>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</si>
  <si>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</si>
  <si>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</si>
  <si>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</si>
  <si>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</si>
  <si>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</si>
  <si>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</si>
  <si>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</si>
  <si>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</si>
  <si>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</si>
  <si>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</si>
  <si>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</si>
  <si>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</si>
  <si>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</si>
  <si>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</si>
  <si>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</si>
  <si>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</si>
  <si>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</si>
  <si>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</si>
  <si>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</si>
  <si>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</si>
  <si>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</si>
  <si>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</si>
  <si>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</si>
  <si>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</si>
  <si>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</si>
  <si>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</si>
  <si>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</si>
  <si>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</si>
  <si>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</si>
  <si>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</si>
  <si>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</si>
  <si>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</si>
  <si>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</si>
  <si>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</si>
  <si>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</si>
  <si>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</si>
  <si>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</si>
  <si>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</si>
  <si>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</si>
  <si>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</si>
  <si>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</si>
  <si>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</si>
  <si>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</si>
  <si>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</si>
  <si>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</si>
  <si>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</si>
  <si>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</si>
  <si>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</si>
  <si>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</si>
  <si>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</si>
  <si>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</si>
  <si>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</si>
  <si>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</si>
  <si>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</si>
  <si>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</si>
  <si>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</si>
  <si>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</si>
  <si>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</si>
  <si>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</si>
  <si>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</si>
  <si>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</si>
  <si>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</si>
  <si>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</si>
  <si>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</si>
  <si>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</si>
  <si>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</si>
  <si>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</si>
  <si>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</si>
  <si>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</si>
  <si>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</si>
  <si>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</si>
  <si>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</si>
  <si>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</si>
  <si>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</si>
  <si>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</si>
  <si>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</si>
  <si>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</si>
  <si>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</si>
  <si>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</si>
  <si>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</si>
  <si>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</si>
  <si>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</si>
  <si>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</si>
  <si>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</si>
  <si>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</si>
  <si>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</si>
  <si>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</si>
  <si>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</si>
  <si>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</si>
  <si>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</si>
  <si>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</si>
  <si>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</si>
  <si>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</si>
  <si>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</si>
  <si>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</si>
  <si>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</si>
  <si>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</si>
  <si>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</si>
  <si>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</si>
  <si>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</si>
  <si>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</si>
  <si>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</si>
  <si>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</si>
  <si>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</si>
  <si>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</si>
  <si>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</si>
  <si>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</si>
  <si>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</si>
  <si>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</si>
  <si>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</si>
  <si>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</si>
  <si>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</si>
  <si>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</si>
  <si>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</si>
  <si>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</si>
  <si>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</si>
  <si>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</si>
  <si>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</si>
  <si>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</si>
  <si>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</si>
  <si>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</si>
  <si>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</si>
  <si>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</si>
  <si>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</si>
  <si>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</si>
  <si>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</si>
  <si>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</si>
  <si>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</si>
  <si>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</si>
  <si>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</si>
  <si>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</si>
  <si>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</si>
  <si>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</si>
  <si>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</si>
  <si>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</si>
  <si>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</si>
  <si>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</si>
  <si>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</si>
  <si>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</si>
  <si>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</si>
  <si>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</si>
  <si>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</si>
  <si>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</si>
  <si>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</si>
  <si>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</si>
  <si>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</si>
  <si>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</si>
  <si>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</si>
  <si>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</si>
  <si>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</si>
  <si>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</si>
  <si>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</si>
  <si>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</si>
  <si>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</si>
  <si>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</si>
  <si>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</si>
  <si>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</si>
  <si>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</si>
  <si>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</si>
  <si>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</si>
  <si>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</si>
  <si>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</si>
  <si>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</si>
  <si>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</si>
  <si>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</si>
  <si>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</si>
  <si>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</si>
  <si>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</si>
  <si>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</si>
  <si>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</si>
  <si>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</si>
  <si>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</si>
  <si>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</si>
  <si>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</si>
  <si>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</si>
  <si>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</si>
  <si>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</si>
  <si>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</si>
  <si>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</si>
  <si>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</si>
  <si>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</si>
  <si>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</si>
  <si>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</si>
  <si>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</si>
  <si>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</si>
  <si>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</si>
  <si>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</si>
  <si>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</si>
  <si>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</si>
  <si>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</si>
  <si>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</si>
  <si>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</si>
  <si>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</si>
  <si>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</si>
  <si>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</si>
  <si>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</si>
  <si>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</si>
  <si>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</si>
  <si>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</si>
  <si>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</si>
  <si>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</si>
  <si>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</si>
  <si>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</si>
  <si>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</si>
  <si>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</si>
  <si>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</si>
  <si>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</si>
  <si>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</si>
  <si>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</si>
  <si>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</si>
  <si>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</si>
  <si>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</si>
  <si>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</si>
  <si>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</si>
  <si>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</si>
  <si>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</si>
  <si>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</si>
  <si>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</si>
  <si>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</si>
  <si>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</si>
  <si>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</si>
  <si>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</si>
  <si>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</si>
  <si>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</si>
  <si>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</si>
  <si>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</si>
  <si>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</si>
  <si>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</si>
  <si>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</si>
  <si>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</si>
  <si>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</si>
  <si>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</si>
  <si>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</si>
  <si>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</si>
  <si>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</si>
  <si>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</si>
  <si>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</si>
  <si>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</si>
  <si>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</si>
  <si>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</si>
  <si>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</si>
  <si>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</si>
  <si>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</si>
  <si>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</si>
  <si>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</si>
  <si>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</si>
  <si>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</si>
  <si>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</si>
  <si>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</si>
  <si>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</si>
  <si>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</si>
  <si>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</si>
  <si>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</si>
  <si>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</si>
  <si>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</si>
  <si>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</si>
  <si>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</si>
  <si>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</si>
  <si>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</si>
  <si>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</si>
  <si>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</si>
  <si>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</si>
  <si>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</si>
  <si>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</si>
  <si>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</si>
  <si>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</si>
  <si>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</si>
  <si>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</si>
  <si>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</si>
  <si>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</si>
  <si>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</si>
  <si>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</si>
  <si>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</si>
  <si>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</si>
  <si>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</si>
  <si>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</si>
  <si>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</si>
  <si>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</si>
  <si>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</si>
  <si>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</si>
  <si>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</si>
  <si>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</si>
  <si>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</si>
  <si>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</si>
  <si>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</si>
  <si>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</si>
  <si>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</si>
  <si>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</si>
  <si>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</si>
  <si>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</si>
  <si>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</si>
  <si>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</si>
  <si>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</si>
  <si>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07/10</t>
  </si>
  <si>
    <t>01/26</t>
  </si>
  <si>
    <t>F473 - Transactions in function 2900 - Unemployment &amp; Workers Comp Expenditures.</t>
  </si>
  <si>
    <t>G468 &amp; H468 - Reversal of PY Accrued Expense in fund 21 &amp; 22</t>
  </si>
  <si>
    <t>Newfound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</si>
</sst>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916</v>
      </c>
      <c r="B2" s="21">
        <v>388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935461.61</v>
      </c>
      <c r="G9" s="18">
        <v>29754.850000000002</v>
      </c>
      <c r="H9" s="18">
        <v>0</v>
      </c>
      <c r="I9" s="18">
        <v>0</v>
      </c>
      <c r="J9" s="67">
        <f>SUM(I439)</f>
        <v>133988.38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234806.88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232044.31</v>
      </c>
      <c r="G12" s="18">
        <v>0</v>
      </c>
      <c r="H12" s="18">
        <v>0</v>
      </c>
      <c r="I12" s="18">
        <v>0</v>
      </c>
      <c r="J12" s="67">
        <f>SUM(I441)</f>
        <v>109999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609694.88</v>
      </c>
      <c r="G13" s="18">
        <v>25374.27</v>
      </c>
      <c r="H13" s="18">
        <v>279850.23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13338.01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1777200.7999999998</v>
      </c>
      <c r="G19" s="41">
        <f>SUM(G9:G18)</f>
        <v>68467.13</v>
      </c>
      <c r="H19" s="41">
        <f>SUM(H9:H18)</f>
        <v>279850.23</v>
      </c>
      <c r="I19" s="41">
        <f>SUM(I9:I18)</f>
        <v>0</v>
      </c>
      <c r="J19" s="41">
        <f>SUM(J9:J18)</f>
        <v>478794.26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109999</v>
      </c>
      <c r="G22" s="18">
        <v>50521.13</v>
      </c>
      <c r="H22" s="18">
        <v>181523.18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954555.97</v>
      </c>
      <c r="G28" s="18">
        <f>5253.57-645.58</f>
        <v>4607.99</v>
      </c>
      <c r="H28" s="18">
        <v>19298.11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f>72702.26+6326.68</f>
        <v>79028.94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1064554.97</v>
      </c>
      <c r="G32" s="41">
        <f>SUM(G22:G31)</f>
        <v>55129.119999999995</v>
      </c>
      <c r="H32" s="41">
        <f>SUM(H22:H31)</f>
        <v>279850.23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13338.01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112061.77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275000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366732.49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105601.52+232044.31</f>
        <v>337645.83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712645.83000000007</v>
      </c>
      <c r="G51" s="41">
        <f>SUM(G35:G50)</f>
        <v>13338.01</v>
      </c>
      <c r="H51" s="41">
        <f>SUM(H35:H50)</f>
        <v>0</v>
      </c>
      <c r="I51" s="41">
        <f>SUM(I35:I50)</f>
        <v>0</v>
      </c>
      <c r="J51" s="41">
        <f>SUM(J35:J50)</f>
        <v>478794.26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1777200.8</v>
      </c>
      <c r="G52" s="41">
        <f>G51+G32</f>
        <v>68467.12999999999</v>
      </c>
      <c r="H52" s="41">
        <f>H51+H32</f>
        <v>279850.23</v>
      </c>
      <c r="I52" s="41">
        <f>I51+I32</f>
        <v>0</v>
      </c>
      <c r="J52" s="41">
        <f>J51+J32</f>
        <v>478794.26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11275862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11275862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652793.24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71200.86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723994.1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69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3344.99</v>
      </c>
      <c r="G96" s="18">
        <v>53.61</v>
      </c>
      <c r="H96" s="18">
        <v>0</v>
      </c>
      <c r="I96" s="18">
        <v>0</v>
      </c>
      <c r="J96" s="18">
        <v>511.25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233977.49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1977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73352.479999999996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78674.47</v>
      </c>
      <c r="G111" s="41">
        <f>SUM(G96:G110)</f>
        <v>234031.09999999998</v>
      </c>
      <c r="H111" s="41">
        <f>SUM(H96:H110)</f>
        <v>0</v>
      </c>
      <c r="I111" s="41">
        <f>SUM(I96:I110)</f>
        <v>0</v>
      </c>
      <c r="J111" s="41">
        <f>SUM(J96:J110)</f>
        <v>511.25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12078530.57</v>
      </c>
      <c r="G112" s="41">
        <f>G60+G111</f>
        <v>234031.09999999998</v>
      </c>
      <c r="H112" s="41">
        <f>H60+H79+H94+H111</f>
        <v>0</v>
      </c>
      <c r="I112" s="41">
        <f>I60+I111</f>
        <v>0</v>
      </c>
      <c r="J112" s="41">
        <f>J60+J111</f>
        <v>511.25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3467466.87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3944768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7412234.8700000001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97426.19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43558.47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5598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1006.08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146582.66</v>
      </c>
      <c r="G136" s="41">
        <f>SUM(G123:G135)</f>
        <v>1006.08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7558817.5300000003</v>
      </c>
      <c r="G140" s="41">
        <f>G121+SUM(G136:G137)</f>
        <v>1006.08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467403.12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109501.28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285574.45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306152.57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319869.59000000003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81883.91</v>
      </c>
      <c r="G161" s="18">
        <v>0</v>
      </c>
      <c r="H161" s="18">
        <v>300479.99</v>
      </c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401753.5</v>
      </c>
      <c r="G162" s="41">
        <f>SUM(G150:G161)</f>
        <v>285574.45</v>
      </c>
      <c r="H162" s="41">
        <f>SUM(H150:H161)</f>
        <v>1183536.96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2571.75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404325.25</v>
      </c>
      <c r="G169" s="41">
        <f>G147+G162+SUM(G163:G168)</f>
        <v>285574.45</v>
      </c>
      <c r="H169" s="41">
        <f>H147+H162+SUM(H163:H168)</f>
        <v>1183536.96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138744.82999999999</v>
      </c>
      <c r="H179" s="18">
        <v>0</v>
      </c>
      <c r="I179" s="18">
        <v>0</v>
      </c>
      <c r="J179" s="18">
        <v>99999</v>
      </c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/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138744.82999999999</v>
      </c>
      <c r="H183" s="41">
        <f>SUM(H179:H182)</f>
        <v>0</v>
      </c>
      <c r="I183" s="41">
        <f>SUM(I179:I182)</f>
        <v>0</v>
      </c>
      <c r="J183" s="41">
        <f>SUM(J179:J182)</f>
        <v>99999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5" t="s">
        <v>430</v>
      </c>
      <c r="E192" s="51">
        <v>5000</v>
      </c>
      <c r="F192" s="41">
        <f>F177+F183+SUM(F188:F191)</f>
        <v>0</v>
      </c>
      <c r="G192" s="41">
        <f>G183+SUM(G188:G191)</f>
        <v>138744.82999999999</v>
      </c>
      <c r="H192" s="41">
        <f>+H183+SUM(H188:H191)</f>
        <v>0</v>
      </c>
      <c r="I192" s="41">
        <f>I177+I183+SUM(I188:I191)</f>
        <v>0</v>
      </c>
      <c r="J192" s="41">
        <f>J183</f>
        <v>99999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6" t="s">
        <v>430</v>
      </c>
      <c r="E193" s="44"/>
      <c r="F193" s="47">
        <f>F112+F140+F169+F192</f>
        <v>20041673.350000001</v>
      </c>
      <c r="G193" s="47">
        <f>G112+G140+G169+G192</f>
        <v>659356.46</v>
      </c>
      <c r="H193" s="47">
        <f>H112+H140+H169+H192</f>
        <v>1183536.96</v>
      </c>
      <c r="I193" s="47">
        <f>I112+I140+I169+I192</f>
        <v>0</v>
      </c>
      <c r="J193" s="47">
        <f>J112+J140+J192</f>
        <v>100510.25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2128294.9299999997</v>
      </c>
      <c r="G197" s="18">
        <v>1024205.2</v>
      </c>
      <c r="H197" s="18">
        <v>36339.632785316608</v>
      </c>
      <c r="I197" s="18">
        <v>83652.909999999989</v>
      </c>
      <c r="J197" s="18">
        <v>9723.82</v>
      </c>
      <c r="K197" s="18">
        <v>2398.2246684146903</v>
      </c>
      <c r="L197" s="19">
        <f>SUM(F197:K197)</f>
        <v>3284614.7174537312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994073.49</v>
      </c>
      <c r="G198" s="18">
        <v>516063.07</v>
      </c>
      <c r="H198" s="18">
        <v>26173.530000000002</v>
      </c>
      <c r="I198" s="18">
        <v>5639.06</v>
      </c>
      <c r="J198" s="18">
        <v>1931.21</v>
      </c>
      <c r="K198" s="18">
        <v>2710.8500000000004</v>
      </c>
      <c r="L198" s="19">
        <f>SUM(F198:K198)</f>
        <v>1546591.2100000002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12475.5</v>
      </c>
      <c r="G200" s="18">
        <v>21756.701614424601</v>
      </c>
      <c r="H200" s="18">
        <v>20773.98</v>
      </c>
      <c r="I200" s="18">
        <v>2221.17</v>
      </c>
      <c r="J200" s="18">
        <v>0</v>
      </c>
      <c r="K200" s="18">
        <v>4000</v>
      </c>
      <c r="L200" s="19">
        <f>SUM(F200:K200)</f>
        <v>61227.351614424595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598739.40252226172</v>
      </c>
      <c r="G202" s="18">
        <v>285622.44905078912</v>
      </c>
      <c r="H202" s="18">
        <v>211103.39515366155</v>
      </c>
      <c r="I202" s="18">
        <v>11430.147515706672</v>
      </c>
      <c r="J202" s="18">
        <v>4198.03</v>
      </c>
      <c r="K202" s="18">
        <v>4.4797643573459558</v>
      </c>
      <c r="L202" s="19">
        <f t="shared" ref="L202:L208" si="0">SUM(F202:K202)</f>
        <v>1111097.9040067766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92402.12000000001</v>
      </c>
      <c r="G203" s="18">
        <v>43796.65</v>
      </c>
      <c r="H203" s="18">
        <v>56976.092800640195</v>
      </c>
      <c r="I203" s="18">
        <v>151310.12189586778</v>
      </c>
      <c r="J203" s="18">
        <v>34135.068839323721</v>
      </c>
      <c r="K203" s="18">
        <v>74585.598147719342</v>
      </c>
      <c r="L203" s="19">
        <f t="shared" si="0"/>
        <v>453205.65168355108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273014.08569850004</v>
      </c>
      <c r="G204" s="18">
        <v>138597.36982888667</v>
      </c>
      <c r="H204" s="18">
        <v>52248.780360104211</v>
      </c>
      <c r="I204" s="18">
        <v>1903.8774530502446</v>
      </c>
      <c r="J204" s="18">
        <v>424.84741235761845</v>
      </c>
      <c r="K204" s="18">
        <v>5740.7060298299093</v>
      </c>
      <c r="L204" s="19">
        <f t="shared" si="0"/>
        <v>471929.66678272875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402604.81999999995</v>
      </c>
      <c r="G205" s="18">
        <v>188832.62</v>
      </c>
      <c r="H205" s="18">
        <v>6566.8000000000011</v>
      </c>
      <c r="I205" s="18">
        <v>4009.68</v>
      </c>
      <c r="J205" s="18">
        <v>0</v>
      </c>
      <c r="K205" s="18">
        <v>2012</v>
      </c>
      <c r="L205" s="19">
        <f t="shared" si="0"/>
        <v>604025.92000000004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204654.43342039402</v>
      </c>
      <c r="G207" s="18">
        <v>75968.216037151171</v>
      </c>
      <c r="H207" s="18">
        <v>201144.38030545012</v>
      </c>
      <c r="I207" s="18">
        <v>167513.78587489147</v>
      </c>
      <c r="J207" s="18">
        <v>6929.0361406704924</v>
      </c>
      <c r="K207" s="18">
        <v>0</v>
      </c>
      <c r="L207" s="19">
        <f t="shared" si="0"/>
        <v>656209.85177855729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473288.97957587737</v>
      </c>
      <c r="I208" s="18">
        <v>41665.638721842915</v>
      </c>
      <c r="J208" s="18">
        <v>0</v>
      </c>
      <c r="K208" s="18">
        <v>0</v>
      </c>
      <c r="L208" s="19">
        <f t="shared" si="0"/>
        <v>514954.61829772027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4706258.7816411555</v>
      </c>
      <c r="G211" s="41">
        <f t="shared" si="1"/>
        <v>2294842.2765312511</v>
      </c>
      <c r="H211" s="41">
        <f t="shared" si="1"/>
        <v>1084615.5709810501</v>
      </c>
      <c r="I211" s="41">
        <f t="shared" si="1"/>
        <v>469346.39146135905</v>
      </c>
      <c r="J211" s="41">
        <f t="shared" si="1"/>
        <v>57342.012392351826</v>
      </c>
      <c r="K211" s="41">
        <f t="shared" si="1"/>
        <v>91451.858610321287</v>
      </c>
      <c r="L211" s="41">
        <f t="shared" si="1"/>
        <v>8703856.89161749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1249684.49</v>
      </c>
      <c r="G215" s="18">
        <v>613155.59000000008</v>
      </c>
      <c r="H215" s="18">
        <v>17410.315534622783</v>
      </c>
      <c r="I215" s="18">
        <v>35716.29</v>
      </c>
      <c r="J215" s="18">
        <v>26768.42</v>
      </c>
      <c r="K215" s="18">
        <v>2209.1904125449064</v>
      </c>
      <c r="L215" s="19">
        <f>SUM(F215:K215)</f>
        <v>1944944.2959471678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412724.47000000003</v>
      </c>
      <c r="G216" s="18">
        <v>239157.91</v>
      </c>
      <c r="H216" s="18">
        <v>153722.10999999999</v>
      </c>
      <c r="I216" s="18">
        <v>180.13</v>
      </c>
      <c r="J216" s="18">
        <v>955</v>
      </c>
      <c r="K216" s="18">
        <v>0</v>
      </c>
      <c r="L216" s="19">
        <f>SUM(F216:K216)</f>
        <v>806739.62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53596</v>
      </c>
      <c r="G218" s="18">
        <v>18711.027443260176</v>
      </c>
      <c r="H218" s="18">
        <v>8641</v>
      </c>
      <c r="I218" s="18">
        <v>5430.73</v>
      </c>
      <c r="J218" s="18">
        <v>9999.5300000000007</v>
      </c>
      <c r="K218" s="18">
        <v>2893.5</v>
      </c>
      <c r="L218" s="19">
        <f>SUM(F218:K218)</f>
        <v>99271.787443260167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253370.78871171232</v>
      </c>
      <c r="G220" s="18">
        <v>125279.78059046874</v>
      </c>
      <c r="H220" s="18">
        <v>40690.341881991393</v>
      </c>
      <c r="I220" s="18">
        <v>3770.2096646689256</v>
      </c>
      <c r="J220" s="18">
        <v>1503.99</v>
      </c>
      <c r="K220" s="18">
        <v>52.448282907394479</v>
      </c>
      <c r="L220" s="19">
        <f t="shared" ref="L220:L226" si="2">SUM(F220:K220)</f>
        <v>424667.5591317488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97568.25</v>
      </c>
      <c r="G221" s="18">
        <v>40058.68</v>
      </c>
      <c r="H221" s="18">
        <v>27746.214475763201</v>
      </c>
      <c r="I221" s="18">
        <v>8043.2439955391346</v>
      </c>
      <c r="J221" s="18">
        <v>56837.571202731007</v>
      </c>
      <c r="K221" s="18">
        <v>42094.544992593597</v>
      </c>
      <c r="L221" s="19">
        <f t="shared" si="2"/>
        <v>272348.50466662692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151223.19923365061</v>
      </c>
      <c r="G222" s="18">
        <v>76773.291823932013</v>
      </c>
      <c r="H222" s="18">
        <v>28189.255116799755</v>
      </c>
      <c r="I222" s="18">
        <v>1040.507994228117</v>
      </c>
      <c r="J222" s="18">
        <v>232.18780608857031</v>
      </c>
      <c r="K222" s="18">
        <v>3137.4133387533411</v>
      </c>
      <c r="L222" s="19">
        <f t="shared" si="2"/>
        <v>260595.8553134524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177014.19</v>
      </c>
      <c r="G223" s="18">
        <v>103680.73999999999</v>
      </c>
      <c r="H223" s="18">
        <v>6012.5</v>
      </c>
      <c r="I223" s="18">
        <v>6863.8799999999992</v>
      </c>
      <c r="J223" s="18">
        <v>400</v>
      </c>
      <c r="K223" s="18">
        <v>1195</v>
      </c>
      <c r="L223" s="19">
        <f t="shared" si="2"/>
        <v>295166.31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119446.80665077554</v>
      </c>
      <c r="G225" s="18">
        <v>42839.348832853764</v>
      </c>
      <c r="H225" s="18">
        <v>539183.80189339898</v>
      </c>
      <c r="I225" s="18">
        <v>73388.694045000258</v>
      </c>
      <c r="J225" s="18">
        <v>3158.7076796690108</v>
      </c>
      <c r="K225" s="18">
        <v>0</v>
      </c>
      <c r="L225" s="19">
        <f t="shared" si="2"/>
        <v>778017.35910169757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282015.26730688027</v>
      </c>
      <c r="I226" s="18">
        <v>22771.124320654482</v>
      </c>
      <c r="J226" s="18">
        <v>0</v>
      </c>
      <c r="K226" s="18">
        <v>0</v>
      </c>
      <c r="L226" s="19">
        <f t="shared" si="2"/>
        <v>304786.39162753476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2514628.1945961383</v>
      </c>
      <c r="G229" s="41">
        <f>SUM(G215:G228)</f>
        <v>1259656.3686905149</v>
      </c>
      <c r="H229" s="41">
        <f>SUM(H215:H228)</f>
        <v>1103610.8062094564</v>
      </c>
      <c r="I229" s="41">
        <f>SUM(I215:I228)</f>
        <v>157204.81002009092</v>
      </c>
      <c r="J229" s="41">
        <f>SUM(J215:J228)</f>
        <v>99855.406688488569</v>
      </c>
      <c r="K229" s="41">
        <f t="shared" si="3"/>
        <v>51582.097026799245</v>
      </c>
      <c r="L229" s="41">
        <f t="shared" si="3"/>
        <v>5186537.6832314879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1580775.26</v>
      </c>
      <c r="G233" s="18">
        <v>798546.66</v>
      </c>
      <c r="H233" s="18">
        <v>32669.011680060619</v>
      </c>
      <c r="I233" s="18">
        <v>62896.350000000006</v>
      </c>
      <c r="J233" s="18">
        <v>32234.809999999998</v>
      </c>
      <c r="K233" s="18">
        <v>10916.664919040404</v>
      </c>
      <c r="L233" s="19">
        <f>SUM(F233:K233)</f>
        <v>2518038.7565991012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613583.13</v>
      </c>
      <c r="G234" s="18">
        <v>328971.09000000003</v>
      </c>
      <c r="H234" s="18">
        <v>171922.86</v>
      </c>
      <c r="I234" s="18">
        <v>3580.89</v>
      </c>
      <c r="J234" s="18">
        <v>1383.18</v>
      </c>
      <c r="K234" s="18">
        <v>450</v>
      </c>
      <c r="L234" s="19">
        <f>SUM(F234:K234)</f>
        <v>1119891.1499999999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14173.11</v>
      </c>
      <c r="I235" s="18">
        <v>0</v>
      </c>
      <c r="J235" s="18">
        <v>0</v>
      </c>
      <c r="K235" s="18">
        <v>0</v>
      </c>
      <c r="L235" s="19">
        <f>SUM(F235:K235)</f>
        <v>14173.11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196344.75</v>
      </c>
      <c r="G236" s="18">
        <v>54364.54094231523</v>
      </c>
      <c r="H236" s="18">
        <v>40600.07</v>
      </c>
      <c r="I236" s="18">
        <v>17189.989999999998</v>
      </c>
      <c r="J236" s="18">
        <v>7314.27</v>
      </c>
      <c r="K236" s="18">
        <v>13203.06</v>
      </c>
      <c r="L236" s="19">
        <f>SUM(F236:K236)</f>
        <v>329016.68094231526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346011.11876602587</v>
      </c>
      <c r="G238" s="18">
        <v>115359.92035874211</v>
      </c>
      <c r="H238" s="18">
        <v>76629.242964347141</v>
      </c>
      <c r="I238" s="18">
        <v>6534.8428196244031</v>
      </c>
      <c r="J238" s="18">
        <v>2628.75</v>
      </c>
      <c r="K238" s="18">
        <v>588.07195273525952</v>
      </c>
      <c r="L238" s="19">
        <f t="shared" ref="L238:L244" si="4">SUM(F238:K238)</f>
        <v>547751.94686147477</v>
      </c>
      <c r="M238" s="8"/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97873.64</v>
      </c>
      <c r="G239" s="18">
        <v>59059.41</v>
      </c>
      <c r="H239" s="18">
        <v>39643.54272359662</v>
      </c>
      <c r="I239" s="18">
        <v>20038.954108593123</v>
      </c>
      <c r="J239" s="18">
        <v>51091.539957945279</v>
      </c>
      <c r="K239" s="18">
        <v>61721.906859687064</v>
      </c>
      <c r="L239" s="19">
        <f t="shared" si="4"/>
        <v>329428.99364982208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196101.42506784946</v>
      </c>
      <c r="G240" s="18">
        <v>98602.208347181295</v>
      </c>
      <c r="H240" s="18">
        <v>30619.114523096054</v>
      </c>
      <c r="I240" s="18">
        <v>1305.5645527216388</v>
      </c>
      <c r="J240" s="18">
        <v>291.33478155381135</v>
      </c>
      <c r="K240" s="18">
        <v>3936.6306314167509</v>
      </c>
      <c r="L240" s="19">
        <f t="shared" si="4"/>
        <v>330856.27790381905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230674.45</v>
      </c>
      <c r="G241" s="18">
        <v>128173.43</v>
      </c>
      <c r="H241" s="18">
        <v>14900.89</v>
      </c>
      <c r="I241" s="18">
        <v>11061.08</v>
      </c>
      <c r="J241" s="18">
        <v>1403.7</v>
      </c>
      <c r="K241" s="18">
        <v>6533</v>
      </c>
      <c r="L241" s="19">
        <f t="shared" si="4"/>
        <v>392746.55000000005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177518.36992883048</v>
      </c>
      <c r="G243" s="18">
        <v>77255.585129995059</v>
      </c>
      <c r="H243" s="18">
        <v>114899.00780115096</v>
      </c>
      <c r="I243" s="18">
        <v>113945.35008010828</v>
      </c>
      <c r="J243" s="18">
        <v>4997.5761796604984</v>
      </c>
      <c r="K243" s="18">
        <v>0</v>
      </c>
      <c r="L243" s="19">
        <f t="shared" si="4"/>
        <v>488615.88911974529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403235.17311724252</v>
      </c>
      <c r="I244" s="18">
        <v>28571.786957502598</v>
      </c>
      <c r="J244" s="18">
        <v>0</v>
      </c>
      <c r="K244" s="18">
        <v>0</v>
      </c>
      <c r="L244" s="19">
        <f t="shared" si="4"/>
        <v>431806.96007474512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3438882.1437627063</v>
      </c>
      <c r="G247" s="41">
        <f t="shared" si="5"/>
        <v>1660332.8447782337</v>
      </c>
      <c r="H247" s="41">
        <f t="shared" si="5"/>
        <v>939292.02280949394</v>
      </c>
      <c r="I247" s="41">
        <f t="shared" si="5"/>
        <v>265124.80851855007</v>
      </c>
      <c r="J247" s="41">
        <f t="shared" si="5"/>
        <v>101345.16091915958</v>
      </c>
      <c r="K247" s="41">
        <f t="shared" si="5"/>
        <v>97349.334362879468</v>
      </c>
      <c r="L247" s="41">
        <f t="shared" si="5"/>
        <v>6502326.3151510227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10659769.119999999</v>
      </c>
      <c r="G257" s="41">
        <f t="shared" si="8"/>
        <v>5214831.49</v>
      </c>
      <c r="H257" s="41">
        <f t="shared" si="8"/>
        <v>3127518.4000000004</v>
      </c>
      <c r="I257" s="41">
        <f t="shared" si="8"/>
        <v>891676.01</v>
      </c>
      <c r="J257" s="41">
        <f t="shared" si="8"/>
        <v>258542.57999999996</v>
      </c>
      <c r="K257" s="41">
        <f t="shared" si="8"/>
        <v>240383.28999999998</v>
      </c>
      <c r="L257" s="41">
        <f t="shared" si="8"/>
        <v>20392720.890000001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177138.54</v>
      </c>
      <c r="L260" s="19">
        <f>SUM(F260:K260)</f>
        <v>177138.54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95681.37</v>
      </c>
      <c r="L261" s="19">
        <f>SUM(F261:K261)</f>
        <v>95681.37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138744.82999999999</v>
      </c>
      <c r="L263" s="19">
        <f>SUM(F263:K263)</f>
        <v>138744.82999999999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99999</v>
      </c>
      <c r="L266" s="19">
        <f t="shared" si="9"/>
        <v>99999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511563.74</v>
      </c>
      <c r="L270" s="41">
        <f t="shared" si="9"/>
        <v>511563.74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10659769.119999999</v>
      </c>
      <c r="G271" s="42">
        <f t="shared" si="11"/>
        <v>5214831.49</v>
      </c>
      <c r="H271" s="42">
        <f t="shared" si="11"/>
        <v>3127518.4000000004</v>
      </c>
      <c r="I271" s="42">
        <f t="shared" si="11"/>
        <v>891676.01</v>
      </c>
      <c r="J271" s="42">
        <f t="shared" si="11"/>
        <v>258542.57999999996</v>
      </c>
      <c r="K271" s="42">
        <f t="shared" si="11"/>
        <v>751947.03</v>
      </c>
      <c r="L271" s="42">
        <f t="shared" si="11"/>
        <v>20904284.629999999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253903.09999999998</v>
      </c>
      <c r="G276" s="18">
        <v>145319.04999999999</v>
      </c>
      <c r="H276" s="18">
        <v>14390</v>
      </c>
      <c r="I276" s="18">
        <v>3803.75</v>
      </c>
      <c r="J276" s="18">
        <v>21623.120000000003</v>
      </c>
      <c r="K276" s="18">
        <v>0</v>
      </c>
      <c r="L276" s="19">
        <f>SUM(F276:K276)</f>
        <v>439039.01999999996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19223.606810481331</v>
      </c>
      <c r="G277" s="18">
        <v>4.7978276267175195</v>
      </c>
      <c r="H277" s="18">
        <v>3006.9253509951818</v>
      </c>
      <c r="I277" s="18">
        <v>0</v>
      </c>
      <c r="J277" s="18">
        <v>0</v>
      </c>
      <c r="K277" s="18">
        <v>0</v>
      </c>
      <c r="L277" s="19">
        <f>SUM(F277:K277)</f>
        <v>22235.329989103229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145336.96000000002</v>
      </c>
      <c r="G279" s="18">
        <v>7457.91</v>
      </c>
      <c r="H279" s="18">
        <v>13436.800000000001</v>
      </c>
      <c r="I279" s="18">
        <v>11026.22</v>
      </c>
      <c r="J279" s="18">
        <v>1009.84</v>
      </c>
      <c r="K279" s="18">
        <v>890</v>
      </c>
      <c r="L279" s="19">
        <f>SUM(F279:K279)</f>
        <v>179157.73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48000</v>
      </c>
      <c r="G281" s="18">
        <v>3671.99</v>
      </c>
      <c r="H281" s="18">
        <v>55033.069231947971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106705.05923194796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1226.02</v>
      </c>
      <c r="G282" s="18">
        <v>207.37</v>
      </c>
      <c r="H282" s="18">
        <v>37748.992242350985</v>
      </c>
      <c r="I282" s="18">
        <v>4093.25</v>
      </c>
      <c r="J282" s="18">
        <v>0</v>
      </c>
      <c r="K282" s="18">
        <v>0</v>
      </c>
      <c r="L282" s="19">
        <f t="shared" si="12"/>
        <v>43275.632242350985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6568.79</v>
      </c>
      <c r="G283" s="18">
        <v>0</v>
      </c>
      <c r="H283" s="18">
        <v>1557.3799999999999</v>
      </c>
      <c r="I283" s="18">
        <v>0</v>
      </c>
      <c r="J283" s="18">
        <v>0</v>
      </c>
      <c r="K283" s="18">
        <v>0</v>
      </c>
      <c r="L283" s="19">
        <f t="shared" si="12"/>
        <v>8126.17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2499.83</v>
      </c>
      <c r="I287" s="18">
        <v>0</v>
      </c>
      <c r="J287" s="18">
        <v>0</v>
      </c>
      <c r="K287" s="18">
        <v>0</v>
      </c>
      <c r="L287" s="19">
        <f t="shared" si="12"/>
        <v>2499.83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474258.47681048134</v>
      </c>
      <c r="G290" s="42">
        <f t="shared" si="13"/>
        <v>156661.1178276267</v>
      </c>
      <c r="H290" s="42">
        <f t="shared" si="13"/>
        <v>127672.99682529415</v>
      </c>
      <c r="I290" s="42">
        <f t="shared" si="13"/>
        <v>18923.22</v>
      </c>
      <c r="J290" s="42">
        <f t="shared" si="13"/>
        <v>22632.960000000003</v>
      </c>
      <c r="K290" s="42">
        <f t="shared" si="13"/>
        <v>890</v>
      </c>
      <c r="L290" s="41">
        <f t="shared" si="13"/>
        <v>801038.7714634022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24327.82</v>
      </c>
      <c r="G295" s="18">
        <v>5673.28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30001.1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69390.72939574004</v>
      </c>
      <c r="G296" s="18">
        <v>35701.592110993821</v>
      </c>
      <c r="H296" s="18">
        <v>4843.3462462329526</v>
      </c>
      <c r="I296" s="18">
        <v>0</v>
      </c>
      <c r="J296" s="18">
        <v>0</v>
      </c>
      <c r="K296" s="18">
        <v>0</v>
      </c>
      <c r="L296" s="19">
        <f>SUM(F296:K296)</f>
        <v>109935.66775296681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33841.53</v>
      </c>
      <c r="G298" s="18">
        <v>54.54</v>
      </c>
      <c r="H298" s="18">
        <v>2420.6</v>
      </c>
      <c r="I298" s="18">
        <v>2478.0100000000002</v>
      </c>
      <c r="J298" s="18">
        <v>205.83</v>
      </c>
      <c r="K298" s="18">
        <v>620</v>
      </c>
      <c r="L298" s="19">
        <f>SUM(F298:K298)</f>
        <v>39620.51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26435.506072395416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26435.506072395416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4166.4399999999996</v>
      </c>
      <c r="G301" s="18">
        <v>890.12000000000012</v>
      </c>
      <c r="H301" s="18">
        <v>12853.870053547409</v>
      </c>
      <c r="I301" s="18">
        <v>1867.19</v>
      </c>
      <c r="J301" s="18">
        <v>0</v>
      </c>
      <c r="K301" s="18">
        <v>0</v>
      </c>
      <c r="L301" s="19">
        <f t="shared" si="14"/>
        <v>19777.620053547409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1634.04</v>
      </c>
      <c r="G302" s="18">
        <v>0</v>
      </c>
      <c r="H302" s="18">
        <v>481.08</v>
      </c>
      <c r="I302" s="18">
        <v>0</v>
      </c>
      <c r="J302" s="18">
        <v>0</v>
      </c>
      <c r="K302" s="18">
        <v>0</v>
      </c>
      <c r="L302" s="19">
        <f t="shared" si="14"/>
        <v>2115.12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692.03</v>
      </c>
      <c r="I306" s="18">
        <v>0</v>
      </c>
      <c r="J306" s="18">
        <v>0</v>
      </c>
      <c r="K306" s="18">
        <v>0</v>
      </c>
      <c r="L306" s="19">
        <f t="shared" si="14"/>
        <v>692.03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133360.55939574004</v>
      </c>
      <c r="G309" s="42">
        <f t="shared" si="15"/>
        <v>42319.532110993823</v>
      </c>
      <c r="H309" s="42">
        <f t="shared" si="15"/>
        <v>47726.432372175783</v>
      </c>
      <c r="I309" s="42">
        <f t="shared" si="15"/>
        <v>4345.2000000000007</v>
      </c>
      <c r="J309" s="42">
        <f t="shared" si="15"/>
        <v>205.83</v>
      </c>
      <c r="K309" s="42">
        <f t="shared" si="15"/>
        <v>620</v>
      </c>
      <c r="L309" s="41">
        <f t="shared" si="15"/>
        <v>228577.55387890965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2368</v>
      </c>
      <c r="J314" s="18">
        <v>0</v>
      </c>
      <c r="K314" s="18">
        <v>0</v>
      </c>
      <c r="L314" s="19">
        <f>SUM(F314:K314)</f>
        <v>2368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6141.6137937786261</v>
      </c>
      <c r="G315" s="18">
        <v>3.2900613794629945</v>
      </c>
      <c r="H315" s="18">
        <v>5436.9684027718667</v>
      </c>
      <c r="I315" s="18">
        <v>0</v>
      </c>
      <c r="J315" s="18">
        <v>0</v>
      </c>
      <c r="K315" s="18">
        <v>0</v>
      </c>
      <c r="L315" s="19">
        <f>SUM(F315:K315)</f>
        <v>11581.872257929956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41463.5</v>
      </c>
      <c r="G317" s="18">
        <v>0</v>
      </c>
      <c r="H317" s="18">
        <v>2420.6</v>
      </c>
      <c r="I317" s="18">
        <v>2060.6999999999998</v>
      </c>
      <c r="J317" s="18">
        <v>205.83</v>
      </c>
      <c r="K317" s="18">
        <v>1095.8899999999999</v>
      </c>
      <c r="L317" s="19">
        <f>SUM(F317:K317)</f>
        <v>47246.52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16410</v>
      </c>
      <c r="G319" s="18">
        <v>1255.47</v>
      </c>
      <c r="H319" s="18">
        <v>33169.624695656617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50835.094695656619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4224.45</v>
      </c>
      <c r="G320" s="18">
        <v>881.91000000000008</v>
      </c>
      <c r="H320" s="18">
        <v>22144.827704101615</v>
      </c>
      <c r="I320" s="18">
        <v>2496.8000000000002</v>
      </c>
      <c r="J320" s="18">
        <v>0</v>
      </c>
      <c r="K320" s="18">
        <v>0</v>
      </c>
      <c r="L320" s="19">
        <f t="shared" si="16"/>
        <v>29747.987704101615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2064.0500000000002</v>
      </c>
      <c r="G321" s="18">
        <v>0</v>
      </c>
      <c r="H321" s="18">
        <v>799.81</v>
      </c>
      <c r="I321" s="18">
        <v>0</v>
      </c>
      <c r="J321" s="18">
        <v>0</v>
      </c>
      <c r="K321" s="18">
        <v>0</v>
      </c>
      <c r="L321" s="19">
        <f t="shared" si="16"/>
        <v>2863.86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2550.89</v>
      </c>
      <c r="I325" s="18">
        <v>0</v>
      </c>
      <c r="J325" s="18">
        <v>0</v>
      </c>
      <c r="K325" s="18">
        <v>0</v>
      </c>
      <c r="L325" s="19">
        <f t="shared" si="16"/>
        <v>2550.89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70303.613793778626</v>
      </c>
      <c r="G328" s="42">
        <f t="shared" si="17"/>
        <v>2140.6700613794628</v>
      </c>
      <c r="H328" s="42">
        <f t="shared" si="17"/>
        <v>66522.720802530093</v>
      </c>
      <c r="I328" s="42">
        <f t="shared" si="17"/>
        <v>6925.5</v>
      </c>
      <c r="J328" s="42">
        <f t="shared" si="17"/>
        <v>205.83</v>
      </c>
      <c r="K328" s="42">
        <f t="shared" si="17"/>
        <v>1095.8899999999999</v>
      </c>
      <c r="L328" s="41">
        <f t="shared" si="17"/>
        <v>147194.22465768817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677922.65</v>
      </c>
      <c r="G338" s="41">
        <f t="shared" si="20"/>
        <v>201121.31999999998</v>
      </c>
      <c r="H338" s="41">
        <f t="shared" si="20"/>
        <v>241922.15000000002</v>
      </c>
      <c r="I338" s="41">
        <f t="shared" si="20"/>
        <v>30193.920000000002</v>
      </c>
      <c r="J338" s="41">
        <f t="shared" si="20"/>
        <v>23044.620000000006</v>
      </c>
      <c r="K338" s="41">
        <f t="shared" si="20"/>
        <v>2605.89</v>
      </c>
      <c r="L338" s="41">
        <f t="shared" si="20"/>
        <v>1176810.55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677922.65</v>
      </c>
      <c r="G352" s="41">
        <f>G338</f>
        <v>201121.31999999998</v>
      </c>
      <c r="H352" s="41">
        <f>H338</f>
        <v>241922.15000000002</v>
      </c>
      <c r="I352" s="41">
        <f>I338</f>
        <v>30193.920000000002</v>
      </c>
      <c r="J352" s="41">
        <f>J338</f>
        <v>23044.620000000006</v>
      </c>
      <c r="K352" s="47">
        <f>K338+K351</f>
        <v>2605.89</v>
      </c>
      <c r="L352" s="41">
        <f>L338+L351</f>
        <v>1176810.55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87621.42</v>
      </c>
      <c r="G358" s="18">
        <v>31157.03</v>
      </c>
      <c r="H358" s="18">
        <v>1940.8</v>
      </c>
      <c r="I358" s="18">
        <v>65523.3</v>
      </c>
      <c r="J358" s="18">
        <v>85.949999999999989</v>
      </c>
      <c r="K358" s="18">
        <v>229.73</v>
      </c>
      <c r="L358" s="13">
        <f>SUM(F358:K358)</f>
        <v>186558.23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49690.05</v>
      </c>
      <c r="G359" s="18">
        <v>7452.8</v>
      </c>
      <c r="H359" s="18">
        <v>7964.29</v>
      </c>
      <c r="I359" s="18">
        <v>66842.720000000001</v>
      </c>
      <c r="J359" s="18">
        <v>647.72</v>
      </c>
      <c r="K359" s="18">
        <v>99.44</v>
      </c>
      <c r="L359" s="19">
        <f>SUM(F359:K359)</f>
        <v>132697.02000000002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131681.95000000001</v>
      </c>
      <c r="G360" s="18">
        <v>47014.049999999996</v>
      </c>
      <c r="H360" s="18">
        <v>2565.3999999999996</v>
      </c>
      <c r="I360" s="18">
        <v>157977.92000000001</v>
      </c>
      <c r="J360" s="18">
        <v>885.81000000000006</v>
      </c>
      <c r="K360" s="18">
        <v>786.33</v>
      </c>
      <c r="L360" s="19">
        <f>SUM(F360:K360)</f>
        <v>340911.46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268993.42000000004</v>
      </c>
      <c r="G362" s="47">
        <f t="shared" si="22"/>
        <v>85623.88</v>
      </c>
      <c r="H362" s="47">
        <f t="shared" si="22"/>
        <v>12470.49</v>
      </c>
      <c r="I362" s="47">
        <f t="shared" si="22"/>
        <v>290343.94000000006</v>
      </c>
      <c r="J362" s="47">
        <f t="shared" si="22"/>
        <v>1619.48</v>
      </c>
      <c r="K362" s="47">
        <f t="shared" si="22"/>
        <v>1115.5</v>
      </c>
      <c r="L362" s="47">
        <f t="shared" si="22"/>
        <v>660166.71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64802.543700000002</v>
      </c>
      <c r="G367" s="18">
        <v>66107.450079999995</v>
      </c>
      <c r="H367" s="18">
        <v>156240.16288000002</v>
      </c>
      <c r="I367" s="56">
        <f>SUM(F367:H367)</f>
        <v>287150.15665999998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720.75630000000001</v>
      </c>
      <c r="G368" s="63">
        <v>735.26991999999996</v>
      </c>
      <c r="H368" s="63">
        <v>1737.75712</v>
      </c>
      <c r="I368" s="56">
        <f>SUM(F368:H368)</f>
        <v>3193.78334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65523.3</v>
      </c>
      <c r="G369" s="47">
        <f>SUM(G367:G368)</f>
        <v>66842.720000000001</v>
      </c>
      <c r="H369" s="47">
        <f>SUM(H367:H368)</f>
        <v>157977.92000000001</v>
      </c>
      <c r="I369" s="47">
        <f>SUM(I367:I368)</f>
        <v>290343.94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99999</v>
      </c>
      <c r="H396" s="18">
        <v>511.25</v>
      </c>
      <c r="I396" s="18">
        <v>0</v>
      </c>
      <c r="J396" s="24" t="s">
        <v>288</v>
      </c>
      <c r="K396" s="24" t="s">
        <v>288</v>
      </c>
      <c r="L396" s="56">
        <f t="shared" si="26"/>
        <v>100510.25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288</v>
      </c>
      <c r="K397" s="24" t="s">
        <v>288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0</v>
      </c>
      <c r="H400" s="18"/>
      <c r="I400" s="18">
        <v>0</v>
      </c>
      <c r="J400" s="24" t="s">
        <v>288</v>
      </c>
      <c r="K400" s="24" t="s">
        <v>288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59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99999</v>
      </c>
      <c r="H401" s="47">
        <f>SUM(H395:H400)</f>
        <v>511.25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100510.25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99999</v>
      </c>
      <c r="H408" s="47">
        <f>H393+H401+H407</f>
        <v>511.25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100510.25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2266.96000000001</v>
      </c>
      <c r="I426" s="18">
        <v>0</v>
      </c>
      <c r="J426" s="18">
        <v>0</v>
      </c>
      <c r="K426" s="18"/>
      <c r="L426" s="56">
        <f t="shared" si="29"/>
        <v>2266.96000000001</v>
      </c>
      <c r="M426" s="8"/>
      <c r="N426" s="271"/>
    </row>
    <row r="427" spans="1:21" s="3" customFormat="1" ht="12" customHeight="1" thickTop="1" x14ac:dyDescent="0.15">
      <c r="A427" s="159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2266.96000000001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2266.96000000001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2266.96000000001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2266.96000000001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0</v>
      </c>
      <c r="G439" s="18">
        <v>133988.38</v>
      </c>
      <c r="H439" s="18">
        <v>0</v>
      </c>
      <c r="I439" s="56">
        <f t="shared" ref="I439:I445" si="33">SUM(F439:H439)</f>
        <v>133988.38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>
        <v>234806.88</v>
      </c>
      <c r="H440" s="18">
        <v>0</v>
      </c>
      <c r="I440" s="56">
        <f t="shared" si="33"/>
        <v>234806.88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109999</v>
      </c>
      <c r="H441" s="18">
        <v>0</v>
      </c>
      <c r="I441" s="56">
        <f t="shared" si="33"/>
        <v>109999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478794.26</v>
      </c>
      <c r="H446" s="13">
        <f>SUM(H439:H445)</f>
        <v>0</v>
      </c>
      <c r="I446" s="13">
        <f>SUM(I439:I445)</f>
        <v>478794.26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112061.77</v>
      </c>
      <c r="H457" s="18">
        <v>0</v>
      </c>
      <c r="I457" s="56">
        <f t="shared" si="34"/>
        <v>112061.77</v>
      </c>
      <c r="J457" s="24" t="s">
        <v>288</v>
      </c>
      <c r="K457" s="24" t="s">
        <v>288</v>
      </c>
      <c r="L457" s="24" t="s">
        <v>288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0</v>
      </c>
      <c r="G459" s="18">
        <v>366732.49</v>
      </c>
      <c r="H459" s="18">
        <v>0</v>
      </c>
      <c r="I459" s="56">
        <f t="shared" si="34"/>
        <v>366732.49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478794.26</v>
      </c>
      <c r="H460" s="83">
        <f>SUM(H454:H459)</f>
        <v>0</v>
      </c>
      <c r="I460" s="83">
        <f>SUM(I454:I459)</f>
        <v>478794.26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6" t="s">
        <v>432</v>
      </c>
      <c r="E461" s="82"/>
      <c r="F461" s="42">
        <f>F452+F460</f>
        <v>0</v>
      </c>
      <c r="G461" s="42">
        <f>G452+G460</f>
        <v>478794.26</v>
      </c>
      <c r="H461" s="42">
        <f>H452+H460</f>
        <v>0</v>
      </c>
      <c r="I461" s="42">
        <f>I452+I460</f>
        <v>478794.26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903</v>
      </c>
      <c r="B465" s="105">
        <v>19</v>
      </c>
      <c r="C465" s="111">
        <v>1</v>
      </c>
      <c r="D465" s="2" t="s">
        <v>432</v>
      </c>
      <c r="E465" s="111"/>
      <c r="F465" s="18">
        <v>1652665.1599999983</v>
      </c>
      <c r="G465" s="18">
        <v>13338.009999999964</v>
      </c>
      <c r="H465" s="18">
        <v>0</v>
      </c>
      <c r="I465" s="18">
        <v>0</v>
      </c>
      <c r="J465" s="18">
        <v>380550.97000000003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20041673.350000001</v>
      </c>
      <c r="G468" s="18">
        <v>659356.46</v>
      </c>
      <c r="H468" s="18">
        <v>1183536.96</v>
      </c>
      <c r="I468" s="18">
        <v>0</v>
      </c>
      <c r="J468" s="18">
        <f>99999+511.25</f>
        <v>100510.25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>
        <v>810.25</v>
      </c>
      <c r="H469" s="18">
        <v>0</v>
      </c>
      <c r="I469" s="18">
        <v>0</v>
      </c>
      <c r="J469" s="18">
        <v>0</v>
      </c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20041673.350000001</v>
      </c>
      <c r="G470" s="53">
        <f>SUM(G468:G469)</f>
        <v>660166.71</v>
      </c>
      <c r="H470" s="53">
        <f>SUM(H468:H469)</f>
        <v>1183536.96</v>
      </c>
      <c r="I470" s="53">
        <f>SUM(I468:I469)</f>
        <v>0</v>
      </c>
      <c r="J470" s="53">
        <f>SUM(J468:J469)</f>
        <v>100510.25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20904284.629999999</v>
      </c>
      <c r="G472" s="18">
        <v>660166.71</v>
      </c>
      <c r="H472" s="18">
        <v>1176810.55</v>
      </c>
      <c r="I472" s="18">
        <v>0</v>
      </c>
      <c r="J472" s="18">
        <v>2266.96000000001</v>
      </c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77408.05</v>
      </c>
      <c r="G473" s="18"/>
      <c r="H473" s="18">
        <v>6726.41</v>
      </c>
      <c r="I473" s="18">
        <v>0</v>
      </c>
      <c r="J473" s="18">
        <v>0</v>
      </c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20981692.68</v>
      </c>
      <c r="G474" s="53">
        <f>SUM(G472:G473)</f>
        <v>660166.71</v>
      </c>
      <c r="H474" s="53">
        <f>SUM(H472:H473)</f>
        <v>1183536.96</v>
      </c>
      <c r="I474" s="53">
        <f>SUM(I472:I473)</f>
        <v>0</v>
      </c>
      <c r="J474" s="53">
        <f>SUM(J472:J473)</f>
        <v>2266.96000000001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89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712645.82999999821</v>
      </c>
      <c r="G476" s="53">
        <f>(G465+G470)- G474</f>
        <v>13338.010000000009</v>
      </c>
      <c r="H476" s="53">
        <f>(H465+H470)- H474</f>
        <v>0</v>
      </c>
      <c r="I476" s="53">
        <f>(I465+I470)- I474</f>
        <v>0</v>
      </c>
      <c r="J476" s="53">
        <f>(J465+J470)- J474</f>
        <v>478794.26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3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6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3">
        <v>15</v>
      </c>
      <c r="G490" s="153"/>
      <c r="H490" s="153"/>
      <c r="I490" s="153"/>
      <c r="J490" s="153"/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4" t="s">
        <v>912</v>
      </c>
      <c r="G491" s="154"/>
      <c r="H491" s="153"/>
      <c r="I491" s="153"/>
      <c r="J491" s="153"/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4" t="s">
        <v>913</v>
      </c>
      <c r="G492" s="154"/>
      <c r="H492" s="153"/>
      <c r="I492" s="153"/>
      <c r="J492" s="153"/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2657078</v>
      </c>
      <c r="G493" s="18"/>
      <c r="H493" s="18"/>
      <c r="I493" s="18"/>
      <c r="J493" s="18"/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5.54</v>
      </c>
      <c r="G494" s="18"/>
      <c r="H494" s="18"/>
      <c r="I494" s="18"/>
      <c r="J494" s="18"/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1771385.2999999998</v>
      </c>
      <c r="G495" s="18"/>
      <c r="H495" s="18"/>
      <c r="I495" s="18"/>
      <c r="J495" s="18"/>
      <c r="K495" s="53">
        <f>SUM(F495:J495)</f>
        <v>1771385.2999999998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177138.54</v>
      </c>
      <c r="G497" s="18"/>
      <c r="H497" s="18"/>
      <c r="I497" s="18"/>
      <c r="J497" s="18"/>
      <c r="K497" s="53">
        <f t="shared" si="35"/>
        <v>177138.54</v>
      </c>
      <c r="L497" s="24" t="s">
        <v>288</v>
      </c>
      <c r="N497" s="270"/>
    </row>
    <row r="498" spans="1:14" s="52" customFormat="1" ht="1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v>1594246.7599999998</v>
      </c>
      <c r="G498" s="203"/>
      <c r="H498" s="203"/>
      <c r="I498" s="203"/>
      <c r="J498" s="203"/>
      <c r="K498" s="204">
        <f t="shared" si="35"/>
        <v>1594246.7599999998</v>
      </c>
      <c r="L498" s="205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419526.0199999999</v>
      </c>
      <c r="G499" s="18"/>
      <c r="H499" s="18"/>
      <c r="I499" s="18"/>
      <c r="J499" s="18"/>
      <c r="K499" s="53">
        <f t="shared" si="35"/>
        <v>419526.0199999999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2013772.7799999998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2013772.7799999998</v>
      </c>
      <c r="L500" s="45" t="s">
        <v>288</v>
      </c>
      <c r="N500" s="270"/>
    </row>
    <row r="501" spans="1:14" s="52" customFormat="1" ht="1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v>177138.54</v>
      </c>
      <c r="G501" s="203"/>
      <c r="H501" s="203"/>
      <c r="I501" s="203"/>
      <c r="J501" s="203"/>
      <c r="K501" s="204">
        <f t="shared" si="35"/>
        <v>177138.54</v>
      </c>
      <c r="L501" s="205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85867.909999999989</v>
      </c>
      <c r="G502" s="18"/>
      <c r="H502" s="18"/>
      <c r="I502" s="18"/>
      <c r="J502" s="18"/>
      <c r="K502" s="53">
        <f t="shared" si="35"/>
        <v>85867.909999999989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263006.45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263006.45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0</v>
      </c>
      <c r="G511" s="24" t="s">
        <v>288</v>
      </c>
      <c r="H511" s="18">
        <v>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>
        <v>0</v>
      </c>
      <c r="G512" s="24" t="s">
        <v>288</v>
      </c>
      <c r="H512" s="18">
        <v>0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0</v>
      </c>
      <c r="G513" s="24" t="s">
        <v>288</v>
      </c>
      <c r="H513" s="18">
        <v>0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0</v>
      </c>
      <c r="G514" s="24" t="s">
        <v>288</v>
      </c>
      <c r="H514" s="18">
        <v>0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>
        <v>0</v>
      </c>
      <c r="G515" s="24" t="s">
        <v>288</v>
      </c>
      <c r="H515" s="18">
        <v>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>
        <v>0</v>
      </c>
      <c r="H516" s="24" t="s">
        <v>288</v>
      </c>
      <c r="I516" s="18">
        <v>0</v>
      </c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6"/>
      <c r="N518" s="270"/>
    </row>
    <row r="519" spans="1:14" s="52" customFormat="1" ht="12" customHeight="1" x14ac:dyDescent="0.2">
      <c r="A519" s="177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1013297.0968104814</v>
      </c>
      <c r="G521" s="18">
        <v>516067.8678276267</v>
      </c>
      <c r="H521" s="18">
        <v>29180.455350995184</v>
      </c>
      <c r="I521" s="18">
        <v>5639.06</v>
      </c>
      <c r="J521" s="18">
        <v>1931.21</v>
      </c>
      <c r="K521" s="18">
        <v>2710.8500000000004</v>
      </c>
      <c r="L521" s="88">
        <f>SUM(F521:K521)</f>
        <v>1568826.5399891036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482115.19939574006</v>
      </c>
      <c r="G522" s="18">
        <v>274859.50211099378</v>
      </c>
      <c r="H522" s="18">
        <v>158565.45624623293</v>
      </c>
      <c r="I522" s="18">
        <v>180.13</v>
      </c>
      <c r="J522" s="18">
        <v>955</v>
      </c>
      <c r="K522" s="18">
        <v>0</v>
      </c>
      <c r="L522" s="88">
        <f>SUM(F522:K522)</f>
        <v>916675.28775296686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619724.74379377859</v>
      </c>
      <c r="G523" s="18">
        <v>328974.38006137952</v>
      </c>
      <c r="H523" s="18">
        <v>177359.82840277185</v>
      </c>
      <c r="I523" s="18">
        <v>3580.89</v>
      </c>
      <c r="J523" s="18">
        <v>1383.18</v>
      </c>
      <c r="K523" s="18">
        <v>450</v>
      </c>
      <c r="L523" s="88">
        <f>SUM(F523:K523)</f>
        <v>1131473.0222579297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432</v>
      </c>
      <c r="E524" s="194"/>
      <c r="F524" s="108">
        <f>SUM(F521:F523)</f>
        <v>2115137.04</v>
      </c>
      <c r="G524" s="108">
        <f t="shared" ref="G524:L524" si="36">SUM(G521:G523)</f>
        <v>1119901.75</v>
      </c>
      <c r="H524" s="108">
        <f t="shared" si="36"/>
        <v>365105.74</v>
      </c>
      <c r="I524" s="108">
        <f t="shared" si="36"/>
        <v>9400.08</v>
      </c>
      <c r="J524" s="108">
        <f t="shared" si="36"/>
        <v>4269.3900000000003</v>
      </c>
      <c r="K524" s="108">
        <f t="shared" si="36"/>
        <v>3160.8500000000004</v>
      </c>
      <c r="L524" s="89">
        <f t="shared" si="36"/>
        <v>3616974.85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248570.47252226179</v>
      </c>
      <c r="G526" s="18">
        <v>69776.939050789166</v>
      </c>
      <c r="H526" s="18">
        <v>249800.91438560945</v>
      </c>
      <c r="I526" s="18">
        <v>5168.8075157066723</v>
      </c>
      <c r="J526" s="18">
        <v>2845.5</v>
      </c>
      <c r="K526" s="18">
        <v>4.4797643573459558</v>
      </c>
      <c r="L526" s="88">
        <f>SUM(F526:K526)</f>
        <v>576167.1132387243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115332.98871171233</v>
      </c>
      <c r="G527" s="18">
        <v>39037.19059046873</v>
      </c>
      <c r="H527" s="18">
        <v>64573.347954386794</v>
      </c>
      <c r="I527" s="18">
        <v>2980.6696646689256</v>
      </c>
      <c r="J527" s="18">
        <v>879</v>
      </c>
      <c r="K527" s="18">
        <v>2.4482829073944803</v>
      </c>
      <c r="L527" s="88">
        <f>SUM(F527:K527)</f>
        <v>222805.64520414418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134712.93876602594</v>
      </c>
      <c r="G528" s="18">
        <v>28988.22035874211</v>
      </c>
      <c r="H528" s="18">
        <v>105187.36766000376</v>
      </c>
      <c r="I528" s="18">
        <v>3350.6528196244026</v>
      </c>
      <c r="J528" s="18">
        <v>2247.75</v>
      </c>
      <c r="K528" s="18">
        <v>443.07195273525957</v>
      </c>
      <c r="L528" s="88">
        <f>SUM(F528:K528)</f>
        <v>274930.00155713147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432</v>
      </c>
      <c r="E529" s="107"/>
      <c r="F529" s="89">
        <f>SUM(F526:F528)</f>
        <v>498616.4</v>
      </c>
      <c r="G529" s="89">
        <f t="shared" ref="G529:L529" si="37">SUM(G526:G528)</f>
        <v>137802.35</v>
      </c>
      <c r="H529" s="89">
        <f t="shared" si="37"/>
        <v>419561.63</v>
      </c>
      <c r="I529" s="89">
        <f t="shared" si="37"/>
        <v>11500.130000000001</v>
      </c>
      <c r="J529" s="89">
        <f t="shared" si="37"/>
        <v>5972.25</v>
      </c>
      <c r="K529" s="89">
        <f t="shared" si="37"/>
        <v>450</v>
      </c>
      <c r="L529" s="89">
        <f t="shared" si="37"/>
        <v>1073902.76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59314.355811554</v>
      </c>
      <c r="G531" s="18">
        <v>33525.575381982875</v>
      </c>
      <c r="H531" s="18"/>
      <c r="I531" s="18"/>
      <c r="J531" s="18"/>
      <c r="K531" s="18"/>
      <c r="L531" s="88">
        <f>SUM(F531:K531)</f>
        <v>92839.931193536875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32416.509421619878</v>
      </c>
      <c r="G532" s="18">
        <v>18322.413104983571</v>
      </c>
      <c r="H532" s="18"/>
      <c r="I532" s="18"/>
      <c r="J532" s="18"/>
      <c r="K532" s="18"/>
      <c r="L532" s="88">
        <f>SUM(F532:K532)</f>
        <v>50738.922526603448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40674.214766826153</v>
      </c>
      <c r="G533" s="18">
        <v>22989.821513033563</v>
      </c>
      <c r="H533" s="18"/>
      <c r="I533" s="18"/>
      <c r="J533" s="18"/>
      <c r="K533" s="18"/>
      <c r="L533" s="88">
        <f>SUM(F533:K533)</f>
        <v>63664.03627985972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432</v>
      </c>
      <c r="E534" s="107"/>
      <c r="F534" s="89">
        <f>SUM(F531:F533)</f>
        <v>132405.08000000005</v>
      </c>
      <c r="G534" s="89">
        <f t="shared" ref="G534:L534" si="38">SUM(G531:G533)</f>
        <v>74837.810000000012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207242.89000000004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113866.09180511809</v>
      </c>
      <c r="I541" s="18">
        <v>11162.273646842492</v>
      </c>
      <c r="J541" s="18">
        <v>0</v>
      </c>
      <c r="K541" s="18">
        <v>0</v>
      </c>
      <c r="L541" s="88">
        <f>SUM(F541:K541)</f>
        <v>125028.36545196059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92836.729266340903</v>
      </c>
      <c r="I542" s="18">
        <v>6100.4110031839</v>
      </c>
      <c r="J542" s="18">
        <v>0</v>
      </c>
      <c r="K542" s="18">
        <v>0</v>
      </c>
      <c r="L542" s="88">
        <f>SUM(F542:K542)</f>
        <v>98937.140269524796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104041.62892854103</v>
      </c>
      <c r="I543" s="18">
        <v>7654.4153499736103</v>
      </c>
      <c r="J543" s="18">
        <v>0</v>
      </c>
      <c r="K543" s="18">
        <v>0</v>
      </c>
      <c r="L543" s="88">
        <f>SUM(F543:K543)</f>
        <v>111696.04427851464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310744.45</v>
      </c>
      <c r="I544" s="192">
        <f t="shared" si="40"/>
        <v>24917.100000000002</v>
      </c>
      <c r="J544" s="192">
        <f t="shared" si="40"/>
        <v>0</v>
      </c>
      <c r="K544" s="192">
        <f t="shared" si="40"/>
        <v>0</v>
      </c>
      <c r="L544" s="192">
        <f t="shared" si="40"/>
        <v>335661.55000000005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432</v>
      </c>
      <c r="E545" s="107"/>
      <c r="F545" s="89">
        <f>F524+F529+F534+F539+F544</f>
        <v>2746158.52</v>
      </c>
      <c r="G545" s="89">
        <f t="shared" ref="G545:L545" si="41">G524+G529+G534+G539+G544</f>
        <v>1332541.9100000001</v>
      </c>
      <c r="H545" s="89">
        <f t="shared" si="41"/>
        <v>1095411.82</v>
      </c>
      <c r="I545" s="89">
        <f t="shared" si="41"/>
        <v>45817.31</v>
      </c>
      <c r="J545" s="89">
        <f t="shared" si="41"/>
        <v>10241.64</v>
      </c>
      <c r="K545" s="89">
        <f t="shared" si="41"/>
        <v>3610.8500000000004</v>
      </c>
      <c r="L545" s="89">
        <f t="shared" si="41"/>
        <v>5233782.05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1568826.5399891036</v>
      </c>
      <c r="G549" s="87">
        <f>L526</f>
        <v>576167.1132387243</v>
      </c>
      <c r="H549" s="87">
        <f>L531</f>
        <v>92839.931193536875</v>
      </c>
      <c r="I549" s="87">
        <f>L536</f>
        <v>0</v>
      </c>
      <c r="J549" s="87">
        <f>L541</f>
        <v>125028.36545196059</v>
      </c>
      <c r="K549" s="87">
        <f>SUM(F549:J549)</f>
        <v>2362861.9498733254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916675.28775296686</v>
      </c>
      <c r="G550" s="87">
        <f>L527</f>
        <v>222805.64520414418</v>
      </c>
      <c r="H550" s="87">
        <f>L532</f>
        <v>50738.922526603448</v>
      </c>
      <c r="I550" s="87">
        <f>L537</f>
        <v>0</v>
      </c>
      <c r="J550" s="87">
        <f>L542</f>
        <v>98937.140269524796</v>
      </c>
      <c r="K550" s="87">
        <f>SUM(F550:J550)</f>
        <v>1289156.9957532394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1131473.0222579297</v>
      </c>
      <c r="G551" s="87">
        <f>L528</f>
        <v>274930.00155713147</v>
      </c>
      <c r="H551" s="87">
        <f>L533</f>
        <v>63664.03627985972</v>
      </c>
      <c r="I551" s="87">
        <f>L538</f>
        <v>0</v>
      </c>
      <c r="J551" s="87">
        <f>L543</f>
        <v>111696.04427851464</v>
      </c>
      <c r="K551" s="87">
        <f>SUM(F551:J551)</f>
        <v>1581763.1043734355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1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3616974.85</v>
      </c>
      <c r="G552" s="89">
        <f t="shared" si="42"/>
        <v>1073902.76</v>
      </c>
      <c r="H552" s="89">
        <f t="shared" si="42"/>
        <v>207242.89000000004</v>
      </c>
      <c r="I552" s="89">
        <f t="shared" si="42"/>
        <v>0</v>
      </c>
      <c r="J552" s="89">
        <f t="shared" si="42"/>
        <v>335661.55000000005</v>
      </c>
      <c r="K552" s="89">
        <f t="shared" si="42"/>
        <v>5233782.0500000007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432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7104.24</v>
      </c>
      <c r="I578" s="87">
        <f t="shared" si="47"/>
        <v>7104.24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24996.1</v>
      </c>
      <c r="G579" s="18">
        <v>153308.57999999999</v>
      </c>
      <c r="H579" s="18">
        <v>164818.62</v>
      </c>
      <c r="I579" s="87">
        <f t="shared" si="47"/>
        <v>343123.3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5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5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5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14173.11</v>
      </c>
      <c r="I584" s="87">
        <f t="shared" si="47"/>
        <v>14173.11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2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6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348868.01253503142</v>
      </c>
      <c r="I591" s="18">
        <v>175993.70282932933</v>
      </c>
      <c r="J591" s="18">
        <v>221436.91463563926</v>
      </c>
      <c r="K591" s="104">
        <f t="shared" ref="K591:K597" si="48">SUM(H591:J591)</f>
        <v>746298.63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125028.36545196058</v>
      </c>
      <c r="I592" s="18">
        <v>98937.140269524796</v>
      </c>
      <c r="J592" s="18">
        <v>111696.04427851464</v>
      </c>
      <c r="K592" s="104">
        <f t="shared" si="48"/>
        <v>335661.55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40853.49</v>
      </c>
      <c r="K593" s="104">
        <f t="shared" si="48"/>
        <v>40853.49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4470.8999999999996</v>
      </c>
      <c r="I594" s="18">
        <v>13287.18</v>
      </c>
      <c r="J594" s="18">
        <v>37538.730000000003</v>
      </c>
      <c r="K594" s="104">
        <f t="shared" si="48"/>
        <v>55296.810000000005</v>
      </c>
      <c r="L594" s="24" t="s">
        <v>288</v>
      </c>
      <c r="M594" s="8"/>
      <c r="N594" s="271"/>
    </row>
    <row r="595" spans="1:14" s="3" customFormat="1" ht="12" customHeight="1" x14ac:dyDescent="0.15">
      <c r="A595" s="170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17460.739999999998</v>
      </c>
      <c r="I595" s="18">
        <v>6115.29</v>
      </c>
      <c r="J595" s="18">
        <v>7165.91</v>
      </c>
      <c r="K595" s="104">
        <f t="shared" si="48"/>
        <v>30741.94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19126.600310728216</v>
      </c>
      <c r="I597" s="18">
        <v>10453.07852868064</v>
      </c>
      <c r="J597" s="18">
        <v>13115.871160591152</v>
      </c>
      <c r="K597" s="104">
        <f t="shared" si="48"/>
        <v>42695.55000000001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7">
        <v>2700</v>
      </c>
      <c r="G598" s="148" t="s">
        <v>97</v>
      </c>
      <c r="H598" s="108">
        <f>SUM(H591:H597)</f>
        <v>514954.61829772021</v>
      </c>
      <c r="I598" s="108">
        <f>SUM(I591:I597)</f>
        <v>304786.39162753476</v>
      </c>
      <c r="J598" s="108">
        <f>SUM(J591:J597)</f>
        <v>431806.960074745</v>
      </c>
      <c r="K598" s="108">
        <f>SUM(K591:K597)</f>
        <v>1251547.97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79974.972392351832</v>
      </c>
      <c r="I604" s="18">
        <v>100061.23668848859</v>
      </c>
      <c r="J604" s="18">
        <v>101550.99091915959</v>
      </c>
      <c r="K604" s="104">
        <f>SUM(H604:J604)</f>
        <v>281587.20000000001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8" t="s">
        <v>476</v>
      </c>
      <c r="G605" s="147">
        <v>700</v>
      </c>
      <c r="H605" s="108">
        <f>SUM(H602:H604)</f>
        <v>79974.972392351832</v>
      </c>
      <c r="I605" s="108">
        <f>SUM(I602:I604)</f>
        <v>100061.23668848859</v>
      </c>
      <c r="J605" s="108">
        <f>SUM(J602:J604)</f>
        <v>101550.99091915959</v>
      </c>
      <c r="K605" s="108">
        <f>SUM(K602:K604)</f>
        <v>281587.20000000001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31240.75</v>
      </c>
      <c r="G611" s="18">
        <v>5728.58</v>
      </c>
      <c r="H611" s="18">
        <v>20773.98</v>
      </c>
      <c r="I611" s="18">
        <v>2221.17</v>
      </c>
      <c r="J611" s="18">
        <v>0</v>
      </c>
      <c r="K611" s="18">
        <v>0</v>
      </c>
      <c r="L611" s="88">
        <f>SUM(F611:K611)</f>
        <v>59964.479999999996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5767.25</v>
      </c>
      <c r="G612" s="18">
        <v>1310.95</v>
      </c>
      <c r="H612" s="18">
        <v>0</v>
      </c>
      <c r="I612" s="18">
        <v>149.46</v>
      </c>
      <c r="J612" s="18">
        <v>0</v>
      </c>
      <c r="K612" s="18">
        <v>0</v>
      </c>
      <c r="L612" s="88">
        <f>SUM(F612:K612)</f>
        <v>7227.66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14263.5</v>
      </c>
      <c r="G613" s="18">
        <v>3034.0099999999998</v>
      </c>
      <c r="H613" s="18">
        <v>1370.5</v>
      </c>
      <c r="I613" s="18">
        <v>2054.17</v>
      </c>
      <c r="J613" s="18">
        <v>0</v>
      </c>
      <c r="K613" s="18">
        <v>2052</v>
      </c>
      <c r="L613" s="88">
        <f>SUM(F613:K613)</f>
        <v>22774.18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51271.5</v>
      </c>
      <c r="G614" s="108">
        <f t="shared" si="49"/>
        <v>10073.539999999999</v>
      </c>
      <c r="H614" s="108">
        <f t="shared" si="49"/>
        <v>22144.48</v>
      </c>
      <c r="I614" s="108">
        <f t="shared" si="49"/>
        <v>4424.8</v>
      </c>
      <c r="J614" s="108">
        <f t="shared" si="49"/>
        <v>0</v>
      </c>
      <c r="K614" s="108">
        <f t="shared" si="49"/>
        <v>2052</v>
      </c>
      <c r="L614" s="89">
        <f t="shared" si="49"/>
        <v>89966.32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1777200.7999999998</v>
      </c>
      <c r="H617" s="109">
        <f>SUM(F52)</f>
        <v>1777200.8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68467.13</v>
      </c>
      <c r="H618" s="109">
        <f>SUM(G52)</f>
        <v>68467.12999999999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279850.23</v>
      </c>
      <c r="H619" s="109">
        <f>SUM(H52)</f>
        <v>279850.23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478794.26</v>
      </c>
      <c r="H621" s="109">
        <f>SUM(J52)</f>
        <v>478794.26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712645.83000000007</v>
      </c>
      <c r="H622" s="109">
        <f>F476</f>
        <v>712645.82999999821</v>
      </c>
      <c r="I622" s="121" t="s">
        <v>101</v>
      </c>
      <c r="J622" s="109">
        <f t="shared" ref="J622:J655" si="50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13338.01</v>
      </c>
      <c r="H623" s="109">
        <f>G476</f>
        <v>13338.010000000009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478794.26</v>
      </c>
      <c r="H626" s="109">
        <f>J476</f>
        <v>478794.26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20041673.350000001</v>
      </c>
      <c r="H627" s="104">
        <f>SUM(F468)</f>
        <v>20041673.350000001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659356.46</v>
      </c>
      <c r="H628" s="104">
        <f>SUM(G468)</f>
        <v>659356.46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1183536.96</v>
      </c>
      <c r="H629" s="104">
        <f>SUM(H468)</f>
        <v>1183536.96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100510.25</v>
      </c>
      <c r="H631" s="104">
        <f>SUM(J468)</f>
        <v>100510.25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20904284.629999999</v>
      </c>
      <c r="H632" s="104">
        <f>SUM(F472)</f>
        <v>20904284.629999999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1176810.55</v>
      </c>
      <c r="H633" s="104">
        <f>SUM(H472)</f>
        <v>1176810.55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290343.94000000006</v>
      </c>
      <c r="H634" s="104">
        <f>I369</f>
        <v>290343.94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660166.71</v>
      </c>
      <c r="H635" s="104">
        <f>SUM(G472)</f>
        <v>660166.71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477</v>
      </c>
      <c r="G637" s="150">
        <f>SUM(L408)</f>
        <v>100510.25</v>
      </c>
      <c r="H637" s="163">
        <f>SUM(J468)</f>
        <v>100510.25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478</v>
      </c>
      <c r="G638" s="150">
        <f>SUM(L434)</f>
        <v>2266.96000000001</v>
      </c>
      <c r="H638" s="163">
        <f>SUM(J472)</f>
        <v>2266.96000000001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478794.26</v>
      </c>
      <c r="H640" s="104">
        <f>SUM(G461)</f>
        <v>478794.26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478794.26</v>
      </c>
      <c r="H642" s="104">
        <f>SUM(I461)</f>
        <v>478794.26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511.25</v>
      </c>
      <c r="H644" s="104">
        <f>H408</f>
        <v>511.25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99999</v>
      </c>
      <c r="H645" s="104">
        <f>G408</f>
        <v>99999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100510.25</v>
      </c>
      <c r="H646" s="104">
        <f>L408</f>
        <v>100510.25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1251547.97</v>
      </c>
      <c r="H647" s="104">
        <f>L208+L226+L244</f>
        <v>1251547.9700000002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281587.20000000001</v>
      </c>
      <c r="H648" s="104">
        <f>(J257+J338)-(J255+J336)</f>
        <v>281587.19999999995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514954.61829772027</v>
      </c>
      <c r="H649" s="104">
        <f>H598</f>
        <v>514954.61829772021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304786.39162753476</v>
      </c>
      <c r="H650" s="104">
        <f>I598</f>
        <v>304786.39162753476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431806.96007474512</v>
      </c>
      <c r="H651" s="104">
        <f>J598</f>
        <v>431806.960074745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138744.82999999999</v>
      </c>
      <c r="H652" s="104">
        <f>K263+K345</f>
        <v>138744.82999999999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99999</v>
      </c>
      <c r="H655" s="104">
        <f>K266+K347</f>
        <v>99999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9691453.893080892</v>
      </c>
      <c r="G660" s="19">
        <f>(L229+L309+L359)</f>
        <v>5547812.2571103983</v>
      </c>
      <c r="H660" s="19">
        <f>(L247+L328+L360)</f>
        <v>6990431.999808711</v>
      </c>
      <c r="I660" s="19">
        <f>SUM(F660:H660)</f>
        <v>22229698.150000002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66120.308299463795</v>
      </c>
      <c r="G661" s="19">
        <f>(L359/IF(SUM(L358:L360)=0,1,SUM(L358:L360))*(SUM(G97:G110)))</f>
        <v>47030.719967809047</v>
      </c>
      <c r="H661" s="19">
        <f>(L360/IF(SUM(L358:L360)=0,1,SUM(L358:L360))*(SUM(G97:G110)))</f>
        <v>120826.4617327272</v>
      </c>
      <c r="I661" s="19">
        <f>SUM(F661:H661)</f>
        <v>233977.49000000005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517454.44829772029</v>
      </c>
      <c r="G662" s="19">
        <f>(L226+L306)-(J226+J306)</f>
        <v>305478.42162753479</v>
      </c>
      <c r="H662" s="19">
        <f>(L244+L325)-(J244+J325)</f>
        <v>434357.85007474513</v>
      </c>
      <c r="I662" s="19">
        <f>SUM(F662:H662)</f>
        <v>1257290.7200000002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164935.55239235185</v>
      </c>
      <c r="G663" s="198">
        <f>SUM(G575:G587)+SUM(I602:I604)+L612</f>
        <v>260597.47668848859</v>
      </c>
      <c r="H663" s="198">
        <f>SUM(H575:H587)+SUM(J602:J604)+L613</f>
        <v>310421.14091915957</v>
      </c>
      <c r="I663" s="19">
        <f>SUM(F663:H663)</f>
        <v>735954.16999999993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8942943.584091356</v>
      </c>
      <c r="G664" s="19">
        <f>G660-SUM(G661:G663)</f>
        <v>4934705.6388265658</v>
      </c>
      <c r="H664" s="19">
        <f>H660-SUM(H661:H663)</f>
        <v>6124826.5470820796</v>
      </c>
      <c r="I664" s="19">
        <f>I660-SUM(I661:I663)</f>
        <v>20002475.770000003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f>9.28+88.54+423.08</f>
        <v>520.9</v>
      </c>
      <c r="G665" s="247">
        <v>296.38</v>
      </c>
      <c r="H665" s="247">
        <v>366.85</v>
      </c>
      <c r="I665" s="19">
        <f>SUM(F665:H665)</f>
        <v>1184.1300000000001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17168.25</v>
      </c>
      <c r="G667" s="19">
        <f>ROUND(G664/G665,2)</f>
        <v>16649.93</v>
      </c>
      <c r="H667" s="19">
        <f>ROUND(H664/H665,2)</f>
        <v>16695.72</v>
      </c>
      <c r="I667" s="19">
        <f>ROUND(I664/I665,2)</f>
        <v>16892.13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-3.44</v>
      </c>
      <c r="I670" s="19">
        <f>SUM(F670:H670)</f>
        <v>-3.44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17168.25</v>
      </c>
      <c r="G672" s="19">
        <f>ROUND((G664+G669)/(G665+G670),2)</f>
        <v>16649.93</v>
      </c>
      <c r="H672" s="19">
        <f>ROUND((H664+H669)/(H665+H670),2)</f>
        <v>16853.759999999998</v>
      </c>
      <c r="I672" s="19">
        <f>ROUND((I664+I669)/(I665+I670),2)</f>
        <v>16941.34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6" sqref="B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Newfound Area</v>
      </c>
      <c r="C1" s="237" t="s">
        <v>838</v>
      </c>
    </row>
    <row r="2" spans="1:3" x14ac:dyDescent="0.2">
      <c r="A2" s="232"/>
      <c r="B2" s="231"/>
    </row>
    <row r="3" spans="1:3" x14ac:dyDescent="0.2">
      <c r="A3" s="277" t="s">
        <v>783</v>
      </c>
      <c r="B3" s="277"/>
      <c r="C3" s="277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782</v>
      </c>
      <c r="C6" s="276"/>
    </row>
    <row r="7" spans="1:3" x14ac:dyDescent="0.2">
      <c r="A7" s="238" t="s">
        <v>785</v>
      </c>
      <c r="B7" s="274" t="s">
        <v>781</v>
      </c>
      <c r="C7" s="275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5236985.5999999996</v>
      </c>
      <c r="C9" s="228">
        <f>'DOE25'!G197+'DOE25'!G215+'DOE25'!G233+'DOE25'!G276+'DOE25'!G295+'DOE25'!G314</f>
        <v>2586899.7799999998</v>
      </c>
    </row>
    <row r="10" spans="1:3" x14ac:dyDescent="0.2">
      <c r="A10" t="s">
        <v>778</v>
      </c>
      <c r="B10" s="239">
        <v>4266858.76</v>
      </c>
      <c r="C10" s="239">
        <v>2107474.5299999998</v>
      </c>
    </row>
    <row r="11" spans="1:3" x14ac:dyDescent="0.2">
      <c r="A11" t="s">
        <v>779</v>
      </c>
      <c r="B11" s="239">
        <v>234420.31</v>
      </c>
      <c r="C11" s="239">
        <v>72920.460000000006</v>
      </c>
    </row>
    <row r="12" spans="1:3" x14ac:dyDescent="0.2">
      <c r="A12" t="s">
        <v>780</v>
      </c>
      <c r="B12" s="239">
        <v>735706.5299999998</v>
      </c>
      <c r="C12" s="239">
        <v>406504.79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5236985.5999999996</v>
      </c>
      <c r="C13" s="230">
        <f>SUM(C10:C12)</f>
        <v>2586899.7799999998</v>
      </c>
    </row>
    <row r="14" spans="1:3" x14ac:dyDescent="0.2">
      <c r="B14" s="229"/>
      <c r="C14" s="229"/>
    </row>
    <row r="15" spans="1:3" x14ac:dyDescent="0.2">
      <c r="B15" s="276" t="s">
        <v>782</v>
      </c>
      <c r="C15" s="276"/>
    </row>
    <row r="16" spans="1:3" x14ac:dyDescent="0.2">
      <c r="A16" s="238" t="s">
        <v>786</v>
      </c>
      <c r="B16" s="274" t="s">
        <v>706</v>
      </c>
      <c r="C16" s="275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2115137.04</v>
      </c>
      <c r="C18" s="228">
        <f>'DOE25'!G198+'DOE25'!G216+'DOE25'!G234+'DOE25'!G277+'DOE25'!G296+'DOE25'!G315</f>
        <v>1119901.7500000002</v>
      </c>
    </row>
    <row r="19" spans="1:3" x14ac:dyDescent="0.2">
      <c r="A19" t="s">
        <v>778</v>
      </c>
      <c r="B19" s="239">
        <v>719575.48</v>
      </c>
      <c r="C19" s="239">
        <v>365294.57</v>
      </c>
    </row>
    <row r="20" spans="1:3" x14ac:dyDescent="0.2">
      <c r="A20" t="s">
        <v>779</v>
      </c>
      <c r="B20" s="239">
        <v>1119930.8500000001</v>
      </c>
      <c r="C20" s="239">
        <v>597227.93999999994</v>
      </c>
    </row>
    <row r="21" spans="1:3" x14ac:dyDescent="0.2">
      <c r="A21" t="s">
        <v>780</v>
      </c>
      <c r="B21" s="239">
        <v>275630.70999999996</v>
      </c>
      <c r="C21" s="239">
        <v>157379.24000000022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2115137.04</v>
      </c>
      <c r="C22" s="230">
        <f>SUM(C19:C21)</f>
        <v>1119901.7500000002</v>
      </c>
    </row>
    <row r="23" spans="1:3" x14ac:dyDescent="0.2">
      <c r="B23" s="229"/>
      <c r="C23" s="229"/>
    </row>
    <row r="24" spans="1:3" x14ac:dyDescent="0.2">
      <c r="B24" s="276" t="s">
        <v>782</v>
      </c>
      <c r="C24" s="276"/>
    </row>
    <row r="25" spans="1:3" x14ac:dyDescent="0.2">
      <c r="A25" s="238" t="s">
        <v>787</v>
      </c>
      <c r="B25" s="274" t="s">
        <v>707</v>
      </c>
      <c r="C25" s="275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778</v>
      </c>
      <c r="B28" s="239">
        <v>0</v>
      </c>
      <c r="C28" s="239">
        <v>0</v>
      </c>
    </row>
    <row r="29" spans="1:3" x14ac:dyDescent="0.2">
      <c r="A29" t="s">
        <v>779</v>
      </c>
      <c r="B29" s="239">
        <v>0</v>
      </c>
      <c r="C29" s="239">
        <v>0</v>
      </c>
    </row>
    <row r="30" spans="1:3" x14ac:dyDescent="0.2">
      <c r="A30" t="s">
        <v>780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6" t="s">
        <v>782</v>
      </c>
      <c r="C33" s="276"/>
    </row>
    <row r="34" spans="1:3" x14ac:dyDescent="0.2">
      <c r="A34" s="238" t="s">
        <v>788</v>
      </c>
      <c r="B34" s="274" t="s">
        <v>708</v>
      </c>
      <c r="C34" s="275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483058.24</v>
      </c>
      <c r="C36" s="234">
        <f>'DOE25'!G200+'DOE25'!G218+'DOE25'!G236+'DOE25'!G279+'DOE25'!G298+'DOE25'!G317</f>
        <v>102344.72</v>
      </c>
    </row>
    <row r="37" spans="1:3" x14ac:dyDescent="0.2">
      <c r="A37" t="s">
        <v>778</v>
      </c>
      <c r="B37" s="239">
        <v>119617.5</v>
      </c>
      <c r="C37" s="239">
        <v>27365.89</v>
      </c>
    </row>
    <row r="38" spans="1:3" x14ac:dyDescent="0.2">
      <c r="A38" t="s">
        <v>779</v>
      </c>
      <c r="B38" s="239">
        <v>53486.85</v>
      </c>
      <c r="C38" s="239">
        <v>10610.7</v>
      </c>
    </row>
    <row r="39" spans="1:3" x14ac:dyDescent="0.2">
      <c r="A39" t="s">
        <v>780</v>
      </c>
      <c r="B39" s="239">
        <v>309953.89</v>
      </c>
      <c r="C39" s="239">
        <v>64368.130000000005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483058.24</v>
      </c>
      <c r="C40" s="230">
        <f>SUM(C37:C39)</f>
        <v>102344.72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789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716</v>
      </c>
      <c r="B2" s="264" t="str">
        <f>'DOE25'!A2</f>
        <v>Newfound Area</v>
      </c>
      <c r="C2" s="180"/>
      <c r="D2" s="180" t="s">
        <v>791</v>
      </c>
      <c r="E2" s="180" t="s">
        <v>793</v>
      </c>
      <c r="F2" s="278" t="s">
        <v>820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11724508.68</v>
      </c>
      <c r="D5" s="20">
        <f>SUM('DOE25'!L197:L200)+SUM('DOE25'!L215:L218)+SUM('DOE25'!L233:L236)-F5-G5</f>
        <v>11595416.949999999</v>
      </c>
      <c r="E5" s="242"/>
      <c r="F5" s="254">
        <f>SUM('DOE25'!J197:J200)+SUM('DOE25'!J215:J218)+SUM('DOE25'!J233:J236)</f>
        <v>90310.239999999991</v>
      </c>
      <c r="G5" s="53">
        <f>SUM('DOE25'!K197:K200)+SUM('DOE25'!K215:K218)+SUM('DOE25'!K233:K236)</f>
        <v>38781.490000000005</v>
      </c>
      <c r="H5" s="258"/>
    </row>
    <row r="6" spans="1:9" x14ac:dyDescent="0.2">
      <c r="A6" s="32">
        <v>2100</v>
      </c>
      <c r="B6" t="s">
        <v>800</v>
      </c>
      <c r="C6" s="244">
        <f t="shared" si="0"/>
        <v>2083517.4100000001</v>
      </c>
      <c r="D6" s="20">
        <f>'DOE25'!L202+'DOE25'!L220+'DOE25'!L238-F6-G6</f>
        <v>2074541.6400000001</v>
      </c>
      <c r="E6" s="242"/>
      <c r="F6" s="254">
        <f>'DOE25'!J202+'DOE25'!J220+'DOE25'!J238</f>
        <v>8330.77</v>
      </c>
      <c r="G6" s="53">
        <f>'DOE25'!K202+'DOE25'!K220+'DOE25'!K238</f>
        <v>645</v>
      </c>
      <c r="H6" s="258"/>
    </row>
    <row r="7" spans="1:9" x14ac:dyDescent="0.2">
      <c r="A7" s="32">
        <v>2200</v>
      </c>
      <c r="B7" t="s">
        <v>833</v>
      </c>
      <c r="C7" s="244">
        <f t="shared" si="0"/>
        <v>1054983.1499999999</v>
      </c>
      <c r="D7" s="20">
        <f>'DOE25'!L203+'DOE25'!L221+'DOE25'!L239-F7-G7</f>
        <v>734516.91999999993</v>
      </c>
      <c r="E7" s="242"/>
      <c r="F7" s="254">
        <f>'DOE25'!J203+'DOE25'!J221+'DOE25'!J239</f>
        <v>142064.18</v>
      </c>
      <c r="G7" s="53">
        <f>'DOE25'!K203+'DOE25'!K221+'DOE25'!K239</f>
        <v>178402.05</v>
      </c>
      <c r="H7" s="258"/>
    </row>
    <row r="8" spans="1:9" x14ac:dyDescent="0.2">
      <c r="A8" s="32">
        <v>2300</v>
      </c>
      <c r="B8" t="s">
        <v>801</v>
      </c>
      <c r="C8" s="244">
        <f t="shared" si="0"/>
        <v>807644.27000000014</v>
      </c>
      <c r="D8" s="242"/>
      <c r="E8" s="20">
        <f>'DOE25'!L204+'DOE25'!L222+'DOE25'!L240-F8-G8-D9-D11</f>
        <v>793881.15000000014</v>
      </c>
      <c r="F8" s="254">
        <f>'DOE25'!J204+'DOE25'!J222+'DOE25'!J240</f>
        <v>948.37000000000012</v>
      </c>
      <c r="G8" s="53">
        <f>'DOE25'!K204+'DOE25'!K222+'DOE25'!K240</f>
        <v>12814.750000000002</v>
      </c>
      <c r="H8" s="258"/>
    </row>
    <row r="9" spans="1:9" x14ac:dyDescent="0.2">
      <c r="A9" s="32">
        <v>2310</v>
      </c>
      <c r="B9" t="s">
        <v>817</v>
      </c>
      <c r="C9" s="244">
        <f t="shared" si="0"/>
        <v>4441.34</v>
      </c>
      <c r="D9" s="243">
        <v>4441.34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19700</v>
      </c>
      <c r="D10" s="242"/>
      <c r="E10" s="243">
        <v>19700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251296.19</v>
      </c>
      <c r="D11" s="243">
        <v>251296.19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1291938.78</v>
      </c>
      <c r="D12" s="20">
        <f>'DOE25'!L205+'DOE25'!L223+'DOE25'!L241-F12-G12</f>
        <v>1280395.08</v>
      </c>
      <c r="E12" s="242"/>
      <c r="F12" s="254">
        <f>'DOE25'!J205+'DOE25'!J223+'DOE25'!J241</f>
        <v>1803.7</v>
      </c>
      <c r="G12" s="53">
        <f>'DOE25'!K205+'DOE25'!K223+'DOE25'!K241</f>
        <v>9740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1922843.1</v>
      </c>
      <c r="D14" s="20">
        <f>'DOE25'!L207+'DOE25'!L225+'DOE25'!L243-F14-G14</f>
        <v>1907757.78</v>
      </c>
      <c r="E14" s="242"/>
      <c r="F14" s="254">
        <f>'DOE25'!J207+'DOE25'!J225+'DOE25'!J243</f>
        <v>15085.320000000002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1251547.9700000002</v>
      </c>
      <c r="D15" s="20">
        <f>'DOE25'!L208+'DOE25'!L226+'DOE25'!L244-F15-G15</f>
        <v>1251547.9700000002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272819.91000000003</v>
      </c>
      <c r="D25" s="242"/>
      <c r="E25" s="242"/>
      <c r="F25" s="257"/>
      <c r="G25" s="255"/>
      <c r="H25" s="256">
        <f>'DOE25'!L260+'DOE25'!L261+'DOE25'!L341+'DOE25'!L342</f>
        <v>272819.91000000003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373016.55333999998</v>
      </c>
      <c r="D29" s="20">
        <f>'DOE25'!L358+'DOE25'!L359+'DOE25'!L360-'DOE25'!I367-F29-G29</f>
        <v>370281.57334</v>
      </c>
      <c r="E29" s="242"/>
      <c r="F29" s="254">
        <f>'DOE25'!J358+'DOE25'!J359+'DOE25'!J360</f>
        <v>1619.48</v>
      </c>
      <c r="G29" s="53">
        <f>'DOE25'!K358+'DOE25'!K359+'DOE25'!K360</f>
        <v>1115.5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1176810.55</v>
      </c>
      <c r="D31" s="20">
        <f>'DOE25'!L290+'DOE25'!L309+'DOE25'!L328+'DOE25'!L333+'DOE25'!L334+'DOE25'!L335-F31-G31</f>
        <v>1151160.04</v>
      </c>
      <c r="E31" s="242"/>
      <c r="F31" s="254">
        <f>'DOE25'!J290+'DOE25'!J309+'DOE25'!J328+'DOE25'!J333+'DOE25'!J334+'DOE25'!J335</f>
        <v>23044.620000000006</v>
      </c>
      <c r="G31" s="53">
        <f>'DOE25'!K290+'DOE25'!K309+'DOE25'!K328+'DOE25'!K333+'DOE25'!K334+'DOE25'!K335</f>
        <v>2605.89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20621355.483339995</v>
      </c>
      <c r="E33" s="245">
        <f>SUM(E5:E31)</f>
        <v>813581.15000000014</v>
      </c>
      <c r="F33" s="245">
        <f>SUM(F5:F31)</f>
        <v>283206.68000000005</v>
      </c>
      <c r="G33" s="245">
        <f>SUM(G5:G31)</f>
        <v>244104.68</v>
      </c>
      <c r="H33" s="245">
        <f>SUM(H5:H31)</f>
        <v>272819.91000000003</v>
      </c>
    </row>
    <row r="35" spans="2:8" ht="12" thickBot="1" x14ac:dyDescent="0.25">
      <c r="B35" s="252" t="s">
        <v>846</v>
      </c>
      <c r="D35" s="253">
        <f>E33</f>
        <v>813581.15000000014</v>
      </c>
      <c r="E35" s="248"/>
    </row>
    <row r="36" spans="2:8" ht="12" thickTop="1" x14ac:dyDescent="0.2">
      <c r="B36" t="s">
        <v>814</v>
      </c>
      <c r="D36" s="20">
        <f>D33</f>
        <v>20621355.483339995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4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935461.61</v>
      </c>
      <c r="D8" s="95">
        <f>'DOE25'!G9</f>
        <v>29754.850000000002</v>
      </c>
      <c r="E8" s="95">
        <f>'DOE25'!H9</f>
        <v>0</v>
      </c>
      <c r="F8" s="95">
        <f>'DOE25'!I9</f>
        <v>0</v>
      </c>
      <c r="G8" s="95">
        <f>'DOE25'!J9</f>
        <v>133988.38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234806.88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232044.31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109999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609694.88</v>
      </c>
      <c r="D12" s="95">
        <f>'DOE25'!G13</f>
        <v>25374.27</v>
      </c>
      <c r="E12" s="95">
        <f>'DOE25'!H13</f>
        <v>279850.23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13338.01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1777200.7999999998</v>
      </c>
      <c r="D18" s="41">
        <f>SUM(D8:D17)</f>
        <v>68467.13</v>
      </c>
      <c r="E18" s="41">
        <f>SUM(E8:E17)</f>
        <v>279850.23</v>
      </c>
      <c r="F18" s="41">
        <f>SUM(F8:F17)</f>
        <v>0</v>
      </c>
      <c r="G18" s="41">
        <f>SUM(G8:G17)</f>
        <v>478794.26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109999</v>
      </c>
      <c r="D21" s="95">
        <f>'DOE25'!G22</f>
        <v>50521.13</v>
      </c>
      <c r="E21" s="95">
        <f>'DOE25'!H22</f>
        <v>181523.18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954555.97</v>
      </c>
      <c r="D27" s="95">
        <f>'DOE25'!G28</f>
        <v>4607.99</v>
      </c>
      <c r="E27" s="95">
        <f>'DOE25'!H28</f>
        <v>19298.11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79028.94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1064554.97</v>
      </c>
      <c r="D31" s="41">
        <f>SUM(D21:D30)</f>
        <v>55129.119999999995</v>
      </c>
      <c r="E31" s="41">
        <f>SUM(E21:E30)</f>
        <v>279850.23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13338.01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112061.77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275000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366732.49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337645.83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712645.83000000007</v>
      </c>
      <c r="D50" s="41">
        <f>SUM(D34:D49)</f>
        <v>13338.01</v>
      </c>
      <c r="E50" s="41">
        <f>SUM(E34:E49)</f>
        <v>0</v>
      </c>
      <c r="F50" s="41">
        <f>SUM(F34:F49)</f>
        <v>0</v>
      </c>
      <c r="G50" s="41">
        <f>SUM(G34:G49)</f>
        <v>478794.26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1777200.8</v>
      </c>
      <c r="D51" s="41">
        <f>D50+D31</f>
        <v>68467.12999999999</v>
      </c>
      <c r="E51" s="41">
        <f>E50+E31</f>
        <v>279850.23</v>
      </c>
      <c r="F51" s="41">
        <f>F50+F31</f>
        <v>0</v>
      </c>
      <c r="G51" s="41">
        <f>G50+G31</f>
        <v>478794.26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11275862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723994.1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3344.99</v>
      </c>
      <c r="D59" s="95">
        <f>'DOE25'!G96</f>
        <v>53.61</v>
      </c>
      <c r="E59" s="95">
        <f>'DOE25'!H96</f>
        <v>0</v>
      </c>
      <c r="F59" s="95">
        <f>'DOE25'!I96</f>
        <v>0</v>
      </c>
      <c r="G59" s="95">
        <f>'DOE25'!J96</f>
        <v>511.25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233977.49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75329.48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802668.57</v>
      </c>
      <c r="D62" s="130">
        <f>SUM(D57:D61)</f>
        <v>234031.09999999998</v>
      </c>
      <c r="E62" s="130">
        <f>SUM(E57:E61)</f>
        <v>0</v>
      </c>
      <c r="F62" s="130">
        <f>SUM(F57:F61)</f>
        <v>0</v>
      </c>
      <c r="G62" s="130">
        <f>SUM(G57:G61)</f>
        <v>511.25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12078530.57</v>
      </c>
      <c r="D63" s="22">
        <f>D56+D62</f>
        <v>234031.09999999998</v>
      </c>
      <c r="E63" s="22">
        <f>E56+E62</f>
        <v>0</v>
      </c>
      <c r="F63" s="22">
        <f>F56+F62</f>
        <v>0</v>
      </c>
      <c r="G63" s="22">
        <f>G56+G62</f>
        <v>511.25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3467466.87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3944768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7412234.8700000001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97426.19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43558.47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5598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1006.08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146582.66</v>
      </c>
      <c r="D78" s="130">
        <f>SUM(D72:D77)</f>
        <v>1006.08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7558817.5300000003</v>
      </c>
      <c r="D81" s="130">
        <f>SUM(D79:D80)+D78+D70</f>
        <v>1006.08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401753.5</v>
      </c>
      <c r="D88" s="95">
        <f>SUM('DOE25'!G153:G161)</f>
        <v>285574.45</v>
      </c>
      <c r="E88" s="95">
        <f>SUM('DOE25'!H153:H161)</f>
        <v>1183536.96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2571.75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404325.25</v>
      </c>
      <c r="D91" s="131">
        <f>SUM(D85:D90)</f>
        <v>285574.45</v>
      </c>
      <c r="E91" s="131">
        <f>SUM(E85:E90)</f>
        <v>1183536.96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138744.82999999999</v>
      </c>
      <c r="E96" s="95">
        <f>'DOE25'!H179</f>
        <v>0</v>
      </c>
      <c r="F96" s="95">
        <f>'DOE25'!I179</f>
        <v>0</v>
      </c>
      <c r="G96" s="95">
        <f>'DOE25'!J179</f>
        <v>99999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138744.82999999999</v>
      </c>
      <c r="E103" s="86">
        <f>SUM(E93:E102)</f>
        <v>0</v>
      </c>
      <c r="F103" s="86">
        <f>SUM(F93:F102)</f>
        <v>0</v>
      </c>
      <c r="G103" s="86">
        <f>SUM(G93:G102)</f>
        <v>99999</v>
      </c>
    </row>
    <row r="104" spans="1:7" ht="12.75" thickTop="1" thickBot="1" x14ac:dyDescent="0.25">
      <c r="A104" s="33" t="s">
        <v>764</v>
      </c>
      <c r="C104" s="86">
        <f>C63+C81+C91+C103</f>
        <v>20041673.350000001</v>
      </c>
      <c r="D104" s="86">
        <f>D63+D81+D91+D103</f>
        <v>659356.46</v>
      </c>
      <c r="E104" s="86">
        <f>E63+E81+E91+E103</f>
        <v>1183536.96</v>
      </c>
      <c r="F104" s="86">
        <f>F63+F81+F91+F103</f>
        <v>0</v>
      </c>
      <c r="G104" s="86">
        <f>G63+G81+G103</f>
        <v>100510.25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7747597.7700000005</v>
      </c>
      <c r="D109" s="24" t="s">
        <v>288</v>
      </c>
      <c r="E109" s="95">
        <f>('DOE25'!L276)+('DOE25'!L295)+('DOE25'!L314)</f>
        <v>471408.11999999994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3473221.98</v>
      </c>
      <c r="D110" s="24" t="s">
        <v>288</v>
      </c>
      <c r="E110" s="95">
        <f>('DOE25'!L277)+('DOE25'!L296)+('DOE25'!L315)</f>
        <v>143752.87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14173.11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489515.82</v>
      </c>
      <c r="D112" s="24" t="s">
        <v>288</v>
      </c>
      <c r="E112" s="95">
        <f>+('DOE25'!L279)+('DOE25'!L298)+('DOE25'!L317)</f>
        <v>266024.76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11724508.68</v>
      </c>
      <c r="D115" s="86">
        <f>SUM(D109:D114)</f>
        <v>0</v>
      </c>
      <c r="E115" s="86">
        <f>SUM(E109:E114)</f>
        <v>881185.75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2083517.4100000001</v>
      </c>
      <c r="D118" s="24" t="s">
        <v>288</v>
      </c>
      <c r="E118" s="95">
        <f>+('DOE25'!L281)+('DOE25'!L300)+('DOE25'!L319)</f>
        <v>183975.66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1054983.1499999999</v>
      </c>
      <c r="D119" s="24" t="s">
        <v>288</v>
      </c>
      <c r="E119" s="95">
        <f>+('DOE25'!L282)+('DOE25'!L301)+('DOE25'!L320)</f>
        <v>92801.24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1063381.8000000003</v>
      </c>
      <c r="D120" s="24" t="s">
        <v>288</v>
      </c>
      <c r="E120" s="95">
        <f>+('DOE25'!L283)+('DOE25'!L302)+('DOE25'!L321)</f>
        <v>13105.150000000001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1291938.78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1922843.1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1251547.9700000002</v>
      </c>
      <c r="D124" s="24" t="s">
        <v>288</v>
      </c>
      <c r="E124" s="95">
        <f>+('DOE25'!L287)+('DOE25'!L306)+('DOE25'!L325)</f>
        <v>5742.75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660166.71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8668212.2100000009</v>
      </c>
      <c r="D128" s="86">
        <f>SUM(D118:D127)</f>
        <v>660166.71</v>
      </c>
      <c r="E128" s="86">
        <f>SUM(E118:E127)</f>
        <v>295624.80000000005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177138.54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95681.37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138744.82999999999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100510.25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-511.25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511563.74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20904284.629999999</v>
      </c>
      <c r="D145" s="86">
        <f>(D115+D128+D144)</f>
        <v>660166.71</v>
      </c>
      <c r="E145" s="86">
        <f>(E115+E128+E144)</f>
        <v>1176810.55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2">
        <f>'DOE25'!F490</f>
        <v>15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288</v>
      </c>
    </row>
    <row r="152" spans="1:9" x14ac:dyDescent="0.2">
      <c r="A152" s="136" t="s">
        <v>28</v>
      </c>
      <c r="B152" s="151" t="str">
        <f>'DOE25'!F491</f>
        <v>07/10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288</v>
      </c>
    </row>
    <row r="153" spans="1:9" x14ac:dyDescent="0.2">
      <c r="A153" s="136" t="s">
        <v>29</v>
      </c>
      <c r="B153" s="151" t="str">
        <f>'DOE25'!F492</f>
        <v>01/26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2657078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1771385.2999999998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1771385.2999999998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177138.54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177138.54</v>
      </c>
    </row>
    <row r="159" spans="1:9" x14ac:dyDescent="0.2">
      <c r="A159" s="22" t="s">
        <v>35</v>
      </c>
      <c r="B159" s="137">
        <f>'DOE25'!F498</f>
        <v>1594246.7599999998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1594246.7599999998</v>
      </c>
    </row>
    <row r="160" spans="1:9" x14ac:dyDescent="0.2">
      <c r="A160" s="22" t="s">
        <v>36</v>
      </c>
      <c r="B160" s="137">
        <f>'DOE25'!F499</f>
        <v>419526.0199999999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419526.0199999999</v>
      </c>
    </row>
    <row r="161" spans="1:7" x14ac:dyDescent="0.2">
      <c r="A161" s="22" t="s">
        <v>37</v>
      </c>
      <c r="B161" s="137">
        <f>'DOE25'!F500</f>
        <v>2013772.7799999998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2013772.7799999998</v>
      </c>
    </row>
    <row r="162" spans="1:7" x14ac:dyDescent="0.2">
      <c r="A162" s="22" t="s">
        <v>38</v>
      </c>
      <c r="B162" s="137">
        <f>'DOE25'!F501</f>
        <v>177138.54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177138.54</v>
      </c>
    </row>
    <row r="163" spans="1:7" x14ac:dyDescent="0.2">
      <c r="A163" s="22" t="s">
        <v>39</v>
      </c>
      <c r="B163" s="137">
        <f>'DOE25'!F502</f>
        <v>85867.909999999989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85867.909999999989</v>
      </c>
    </row>
    <row r="164" spans="1:7" x14ac:dyDescent="0.2">
      <c r="A164" s="22" t="s">
        <v>246</v>
      </c>
      <c r="B164" s="137">
        <f>'DOE25'!F503</f>
        <v>263006.45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263006.45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739</v>
      </c>
      <c r="B1" s="282"/>
      <c r="C1" s="282"/>
      <c r="D1" s="282"/>
    </row>
    <row r="2" spans="1:4" x14ac:dyDescent="0.2">
      <c r="A2" s="186" t="s">
        <v>716</v>
      </c>
      <c r="B2" s="185" t="str">
        <f>'DOE25'!A2</f>
        <v>Newfound Area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17168</v>
      </c>
    </row>
    <row r="5" spans="1:4" x14ac:dyDescent="0.2">
      <c r="B5" t="s">
        <v>703</v>
      </c>
      <c r="C5" s="178">
        <f>IF('DOE25'!G665+'DOE25'!G670=0,0,ROUND('DOE25'!G672,0))</f>
        <v>16650</v>
      </c>
    </row>
    <row r="6" spans="1:4" x14ac:dyDescent="0.2">
      <c r="B6" t="s">
        <v>62</v>
      </c>
      <c r="C6" s="178">
        <f>IF('DOE25'!H665+'DOE25'!H670=0,0,ROUND('DOE25'!H672,0))</f>
        <v>16854</v>
      </c>
    </row>
    <row r="7" spans="1:4" x14ac:dyDescent="0.2">
      <c r="B7" t="s">
        <v>704</v>
      </c>
      <c r="C7" s="178">
        <f>IF('DOE25'!I665+'DOE25'!I670=0,0,ROUND('DOE25'!I672,0))</f>
        <v>16941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8219006</v>
      </c>
      <c r="D10" s="181">
        <f>ROUND((C10/$C$28)*100,1)</f>
        <v>37.200000000000003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3616975</v>
      </c>
      <c r="D11" s="181">
        <f>ROUND((C11/$C$28)*100,1)</f>
        <v>16.399999999999999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14173</v>
      </c>
      <c r="D12" s="181">
        <f>ROUND((C12/$C$28)*100,1)</f>
        <v>0.1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755541</v>
      </c>
      <c r="D13" s="181">
        <f>ROUND((C13/$C$28)*100,1)</f>
        <v>3.4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2267493</v>
      </c>
      <c r="D15" s="181">
        <f t="shared" ref="D15:D27" si="0">ROUND((C15/$C$28)*100,1)</f>
        <v>10.3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1147784</v>
      </c>
      <c r="D16" s="181">
        <f t="shared" si="0"/>
        <v>5.2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1076487</v>
      </c>
      <c r="D17" s="181">
        <f t="shared" si="0"/>
        <v>4.9000000000000004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1291939</v>
      </c>
      <c r="D18" s="181">
        <f t="shared" si="0"/>
        <v>5.8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1922843</v>
      </c>
      <c r="D20" s="181">
        <f t="shared" si="0"/>
        <v>8.6999999999999993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1257291</v>
      </c>
      <c r="D21" s="181">
        <f t="shared" si="0"/>
        <v>5.7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719</v>
      </c>
      <c r="C25" s="178">
        <f>ROUND('DOE25'!L261+'DOE25'!L342,0)</f>
        <v>95681</v>
      </c>
      <c r="D25" s="181">
        <f t="shared" si="0"/>
        <v>0.4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426189.51</v>
      </c>
      <c r="D27" s="181">
        <f t="shared" si="0"/>
        <v>1.9</v>
      </c>
    </row>
    <row r="28" spans="1:4" x14ac:dyDescent="0.2">
      <c r="B28" s="186" t="s">
        <v>722</v>
      </c>
      <c r="C28" s="179">
        <f>SUM(C10:C27)</f>
        <v>22091402.510000002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728</v>
      </c>
      <c r="C30" s="179">
        <f>SUM(C28:C29)</f>
        <v>22091402.510000002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177139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11275862</v>
      </c>
      <c r="D35" s="181">
        <f t="shared" ref="D35:D40" si="1">ROUND((C35/$C$41)*100,1)</f>
        <v>52.4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803233.4299999997</v>
      </c>
      <c r="D36" s="181">
        <f t="shared" si="1"/>
        <v>3.7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7412235</v>
      </c>
      <c r="D37" s="181">
        <f t="shared" si="1"/>
        <v>34.5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147589</v>
      </c>
      <c r="D38" s="181">
        <f t="shared" si="1"/>
        <v>0.7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1873437</v>
      </c>
      <c r="D39" s="181">
        <f t="shared" si="1"/>
        <v>8.6999999999999993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21512356.43</v>
      </c>
      <c r="D41" s="183">
        <f>SUM(D35:D40)</f>
        <v>100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769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93" t="s">
        <v>766</v>
      </c>
      <c r="B2" s="294"/>
      <c r="C2" s="294"/>
      <c r="D2" s="294"/>
      <c r="E2" s="294"/>
      <c r="F2" s="291" t="str">
        <f>'DOE25'!A2</f>
        <v>Newfound Area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89" t="s">
        <v>770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6"/>
      <c r="AO29" s="206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6"/>
      <c r="BB29" s="206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6"/>
      <c r="BO29" s="206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6"/>
      <c r="CB29" s="206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6"/>
      <c r="CO29" s="206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6"/>
      <c r="DB29" s="206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6"/>
      <c r="DO29" s="206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6"/>
      <c r="EB29" s="206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6"/>
      <c r="EO29" s="206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6"/>
      <c r="FB29" s="206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6"/>
      <c r="FO29" s="206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6"/>
      <c r="GB29" s="206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6"/>
      <c r="GO29" s="206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6"/>
      <c r="HB29" s="206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6"/>
      <c r="HO29" s="206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6"/>
      <c r="IB29" s="206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6"/>
      <c r="IO29" s="206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6"/>
      <c r="AO30" s="206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6"/>
      <c r="BB30" s="206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6"/>
      <c r="BO30" s="206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6"/>
      <c r="CB30" s="206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6"/>
      <c r="CO30" s="206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6"/>
      <c r="DB30" s="206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6"/>
      <c r="DO30" s="206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6"/>
      <c r="EB30" s="206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6"/>
      <c r="EO30" s="206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6"/>
      <c r="FB30" s="206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6"/>
      <c r="FO30" s="206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6"/>
      <c r="GB30" s="206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6"/>
      <c r="GO30" s="206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6"/>
      <c r="HB30" s="206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6"/>
      <c r="HO30" s="206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6"/>
      <c r="IB30" s="206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6"/>
      <c r="IO30" s="206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6"/>
      <c r="AO31" s="206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6"/>
      <c r="BB31" s="206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6"/>
      <c r="BO31" s="206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6"/>
      <c r="CB31" s="206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6"/>
      <c r="CO31" s="206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6"/>
      <c r="DB31" s="206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6"/>
      <c r="DO31" s="206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6"/>
      <c r="EB31" s="206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6"/>
      <c r="EO31" s="206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6"/>
      <c r="FB31" s="206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6"/>
      <c r="FO31" s="206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6"/>
      <c r="GB31" s="206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6"/>
      <c r="GO31" s="206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6"/>
      <c r="HB31" s="206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6"/>
      <c r="HO31" s="206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6"/>
      <c r="IB31" s="206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6"/>
      <c r="IO31" s="206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6"/>
      <c r="AO38" s="206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6"/>
      <c r="BB38" s="206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6"/>
      <c r="BO38" s="206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6"/>
      <c r="CB38" s="206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6"/>
      <c r="CO38" s="206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6"/>
      <c r="DB38" s="206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6"/>
      <c r="DO38" s="206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6"/>
      <c r="EB38" s="206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6"/>
      <c r="EO38" s="206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6"/>
      <c r="FB38" s="206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6"/>
      <c r="FO38" s="206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6"/>
      <c r="GB38" s="206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6"/>
      <c r="GO38" s="206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6"/>
      <c r="HB38" s="206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6"/>
      <c r="HO38" s="206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6"/>
      <c r="IB38" s="206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6"/>
      <c r="IO38" s="206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6"/>
      <c r="AO39" s="206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6"/>
      <c r="BB39" s="206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6"/>
      <c r="BO39" s="206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6"/>
      <c r="CB39" s="206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6"/>
      <c r="CO39" s="206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6"/>
      <c r="DB39" s="206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6"/>
      <c r="DO39" s="206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6"/>
      <c r="EB39" s="206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6"/>
      <c r="EO39" s="206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6"/>
      <c r="FB39" s="206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6"/>
      <c r="FO39" s="206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6"/>
      <c r="GB39" s="206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6"/>
      <c r="GO39" s="206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6"/>
      <c r="HB39" s="206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6"/>
      <c r="HO39" s="206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6"/>
      <c r="IB39" s="206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6"/>
      <c r="IO39" s="206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6"/>
      <c r="AO40" s="206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6"/>
      <c r="BB40" s="206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6"/>
      <c r="BO40" s="206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6"/>
      <c r="CB40" s="206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6"/>
      <c r="CO40" s="206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6"/>
      <c r="DB40" s="206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6"/>
      <c r="DO40" s="206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6"/>
      <c r="EB40" s="206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6"/>
      <c r="EO40" s="206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6"/>
      <c r="FB40" s="206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6"/>
      <c r="FO40" s="206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6"/>
      <c r="GB40" s="206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6"/>
      <c r="GO40" s="206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6"/>
      <c r="HB40" s="206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6"/>
      <c r="HO40" s="206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6"/>
      <c r="IB40" s="206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6"/>
      <c r="IO40" s="206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0" t="s">
        <v>847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767</v>
      </c>
      <c r="B73" s="209" t="s">
        <v>768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0"/>
      <c r="B74" s="210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0"/>
      <c r="B75" s="210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0"/>
      <c r="B76" s="210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0"/>
      <c r="B77" s="210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0"/>
      <c r="B78" s="210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0"/>
      <c r="B79" s="210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0"/>
      <c r="B80" s="210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0"/>
      <c r="B81" s="210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0"/>
      <c r="B82" s="210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0"/>
      <c r="B83" s="210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0"/>
      <c r="B84" s="210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0"/>
      <c r="B85" s="210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0"/>
      <c r="B86" s="210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0"/>
      <c r="B87" s="210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0"/>
      <c r="B88" s="210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0"/>
      <c r="B89" s="210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0"/>
      <c r="B90" s="210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2017-11-07T13:00:19Z</cp:lastPrinted>
  <dcterms:created xsi:type="dcterms:W3CDTF">1997-12-04T19:04:30Z</dcterms:created>
  <dcterms:modified xsi:type="dcterms:W3CDTF">2018-03-23T13:47:32Z</dcterms:modified>
</cp:coreProperties>
</file>