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D29" i="13" s="1"/>
  <c r="C29" i="13" s="1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C13" i="10" s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C16" i="10" s="1"/>
  <c r="L321" i="1"/>
  <c r="L322" i="1"/>
  <c r="C18" i="10" s="1"/>
  <c r="L323" i="1"/>
  <c r="L324" i="1"/>
  <c r="C20" i="10" s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5" i="10"/>
  <c r="C17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I661" i="1" s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J634" i="1" s="1"/>
  <c r="H634" i="1"/>
  <c r="H635" i="1"/>
  <c r="H636" i="1"/>
  <c r="H637" i="1"/>
  <c r="H638" i="1"/>
  <c r="G639" i="1"/>
  <c r="H639" i="1"/>
  <c r="J639" i="1" s="1"/>
  <c r="G640" i="1"/>
  <c r="H640" i="1"/>
  <c r="G641" i="1"/>
  <c r="H641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L351" i="1"/>
  <c r="I662" i="1"/>
  <c r="L290" i="1"/>
  <c r="F660" i="1" s="1"/>
  <c r="F664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K605" i="1"/>
  <c r="G648" i="1" s="1"/>
  <c r="J571" i="1"/>
  <c r="K571" i="1"/>
  <c r="L433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C138" i="2" s="1"/>
  <c r="A13" i="12"/>
  <c r="F22" i="13"/>
  <c r="H25" i="13"/>
  <c r="C25" i="13" s="1"/>
  <c r="J651" i="1"/>
  <c r="J640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E33" i="13" s="1"/>
  <c r="D35" i="13" s="1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6" i="13"/>
  <c r="H33" i="13"/>
  <c r="F672" i="1" l="1"/>
  <c r="C4" i="10" s="1"/>
  <c r="F667" i="1"/>
  <c r="D145" i="2"/>
  <c r="H664" i="1"/>
  <c r="H667" i="1" s="1"/>
  <c r="C62" i="2"/>
  <c r="C63" i="2" s="1"/>
  <c r="C104" i="2" s="1"/>
  <c r="C115" i="2"/>
  <c r="L362" i="1"/>
  <c r="C27" i="10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G18" i="2" s="1"/>
  <c r="J19" i="1"/>
  <c r="G621" i="1" s="1"/>
  <c r="F33" i="13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H648" i="1"/>
  <c r="J648" i="1" s="1"/>
  <c r="J652" i="1"/>
  <c r="J642" i="1"/>
  <c r="G571" i="1"/>
  <c r="I434" i="1"/>
  <c r="G434" i="1"/>
  <c r="E104" i="2"/>
  <c r="I663" i="1"/>
  <c r="G635" i="1"/>
  <c r="J635" i="1" s="1"/>
  <c r="G672" i="1" l="1"/>
  <c r="C5" i="10" s="1"/>
  <c r="H672" i="1"/>
  <c r="C6" i="10" s="1"/>
  <c r="C28" i="10"/>
  <c r="D22" i="10" s="1"/>
  <c r="D31" i="13"/>
  <c r="C31" i="13" s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4" i="10"/>
  <c r="D12" i="10"/>
  <c r="D17" i="10"/>
  <c r="D15" i="10"/>
  <c r="D18" i="10"/>
  <c r="D20" i="10"/>
  <c r="D27" i="10"/>
  <c r="D10" i="10" l="1"/>
  <c r="D26" i="10"/>
  <c r="C30" i="10"/>
  <c r="D16" i="10"/>
  <c r="D23" i="10"/>
  <c r="D25" i="10"/>
  <c r="D19" i="10"/>
  <c r="D13" i="10"/>
  <c r="D28" i="10" s="1"/>
  <c r="D11" i="10"/>
  <c r="D21" i="10"/>
  <c r="I667" i="1"/>
  <c r="H656" i="1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<sst xmlns="http://schemas.openxmlformats.org/spreadsheetml/2006/main" count="3958" uniqueCount="916">
  <si>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</si>
  <si>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</si>
  <si>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</si>
  <si>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</si>
  <si>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</si>
  <si>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</si>
  <si>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</si>
  <si>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</si>
  <si>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</si>
  <si>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</si>
  <si>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</si>
  <si>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</si>
  <si>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</si>
  <si>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</si>
  <si>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</si>
  <si>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</si>
  <si>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</si>
  <si>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</si>
  <si>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</si>
  <si>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</si>
  <si>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</si>
  <si>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</si>
  <si>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</si>
  <si>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</si>
  <si>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</si>
  <si>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</si>
  <si>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</si>
  <si>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</si>
  <si>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</si>
  <si>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</si>
  <si>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</si>
  <si>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</si>
  <si>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</si>
  <si>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</si>
  <si>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</si>
  <si>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</si>
  <si>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</si>
  <si>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</si>
  <si>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</si>
  <si>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</si>
  <si>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</si>
  <si>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</si>
  <si>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</si>
  <si>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</si>
  <si>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</si>
  <si>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</si>
  <si>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</si>
  <si>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</si>
  <si>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</si>
  <si>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</si>
  <si>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</si>
  <si>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</si>
  <si>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</si>
  <si>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</si>
  <si>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</si>
  <si>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</si>
  <si>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</si>
  <si>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</si>
  <si>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</si>
  <si>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</si>
  <si>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</si>
  <si>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</si>
  <si>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</si>
  <si>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</si>
  <si>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</si>
  <si>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</si>
  <si>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</si>
  <si>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</si>
  <si>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</si>
  <si>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</si>
  <si>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</si>
  <si>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</si>
  <si>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</si>
  <si>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</si>
  <si>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</si>
  <si>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</si>
  <si>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</si>
  <si>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</si>
  <si>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</si>
  <si>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</si>
  <si>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</si>
  <si>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</si>
  <si>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</si>
  <si>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</si>
  <si>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</si>
  <si>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</si>
  <si>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</si>
  <si>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</si>
  <si>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</si>
  <si>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</si>
  <si>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</si>
  <si>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</si>
  <si>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</si>
  <si>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</si>
  <si>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</si>
  <si>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</si>
  <si>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</si>
  <si>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</si>
  <si>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</si>
  <si>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</si>
  <si>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</si>
  <si>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</si>
  <si>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</si>
  <si>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</si>
  <si>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</si>
  <si>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</si>
  <si>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</si>
  <si>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</si>
  <si>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</si>
  <si>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</si>
  <si>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</si>
  <si>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</si>
  <si>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</si>
  <si>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</si>
  <si>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</si>
  <si>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</si>
  <si>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</si>
  <si>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</si>
  <si>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</si>
  <si>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</si>
  <si>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</si>
  <si>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</si>
  <si>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</si>
  <si>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</si>
  <si>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</si>
  <si>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</si>
  <si>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</si>
  <si>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</si>
  <si>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</si>
  <si>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</si>
  <si>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</si>
  <si>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</si>
  <si>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</si>
  <si>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</si>
  <si>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</si>
  <si>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</si>
  <si>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</si>
  <si>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</si>
  <si>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</si>
  <si>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</si>
  <si>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</si>
  <si>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</si>
  <si>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</si>
  <si>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</si>
  <si>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</si>
  <si>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</si>
  <si>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</si>
  <si>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</si>
  <si>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</si>
  <si>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</si>
  <si>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</si>
  <si>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</si>
  <si>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</si>
  <si>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</si>
  <si>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</si>
  <si>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</si>
  <si>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</si>
  <si>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</si>
  <si>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</si>
  <si>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</si>
  <si>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</si>
  <si>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</si>
  <si>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</si>
  <si>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</si>
  <si>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</si>
  <si>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</si>
  <si>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</si>
  <si>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</si>
  <si>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</si>
  <si>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</si>
  <si>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</si>
  <si>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</si>
  <si>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</si>
  <si>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</si>
  <si>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</si>
  <si>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</si>
  <si>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</si>
  <si>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</si>
  <si>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</si>
  <si>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</si>
  <si>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</si>
  <si>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</si>
  <si>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</si>
  <si>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</si>
  <si>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</si>
  <si>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</si>
  <si>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</si>
  <si>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</si>
  <si>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</si>
  <si>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</si>
  <si>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</si>
  <si>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</si>
  <si>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</si>
  <si>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</si>
  <si>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</si>
  <si>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</si>
  <si>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</si>
  <si>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</si>
  <si>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</si>
  <si>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</si>
  <si>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</si>
  <si>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</si>
  <si>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</si>
  <si>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</si>
  <si>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</si>
  <si>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</si>
  <si>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</si>
  <si>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</si>
  <si>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</si>
  <si>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</si>
  <si>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</si>
  <si>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</si>
  <si>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</si>
  <si>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</si>
  <si>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</si>
  <si>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</si>
  <si>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</si>
  <si>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</si>
  <si>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</si>
  <si>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</si>
  <si>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</si>
  <si>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</si>
  <si>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</si>
  <si>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</si>
  <si>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</si>
  <si>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</si>
  <si>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</si>
  <si>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</si>
  <si>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</si>
  <si>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</si>
  <si>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</si>
  <si>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</si>
  <si>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</si>
  <si>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</si>
  <si>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</si>
  <si>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</si>
  <si>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</si>
  <si>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</si>
  <si>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</si>
  <si>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</si>
  <si>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</si>
  <si>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</si>
  <si>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</si>
  <si>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</si>
  <si>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</si>
  <si>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</si>
  <si>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</si>
  <si>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</si>
  <si>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</si>
  <si>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</si>
  <si>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</si>
  <si>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</si>
  <si>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</si>
  <si>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</si>
  <si>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</si>
  <si>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</si>
  <si>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</si>
  <si>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</si>
  <si>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</si>
  <si>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</si>
  <si>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</si>
  <si>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</si>
  <si>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</si>
  <si>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</si>
  <si>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</si>
  <si>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</si>
  <si>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</si>
  <si>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</si>
  <si>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</si>
  <si>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</si>
  <si>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</si>
  <si>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</si>
  <si>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</si>
  <si>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</si>
  <si>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</si>
  <si>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</si>
  <si>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</si>
  <si>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</si>
  <si>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</si>
  <si>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</si>
  <si>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</si>
  <si>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</si>
  <si>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</si>
  <si>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</si>
  <si>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</si>
  <si>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</si>
  <si>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</si>
  <si>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</si>
  <si>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</si>
  <si>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</si>
  <si>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</si>
  <si>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</si>
  <si>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</si>
  <si>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</si>
  <si>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</si>
  <si>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</si>
  <si>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</si>
  <si>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</si>
  <si>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</si>
  <si>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</si>
  <si>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</si>
  <si>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</si>
  <si>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</si>
  <si>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</si>
  <si>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</si>
  <si>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</si>
  <si>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</si>
  <si>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</si>
  <si>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</si>
  <si>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</si>
  <si>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</si>
  <si>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</si>
  <si>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</si>
  <si>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</si>
  <si>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</si>
  <si>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</si>
  <si>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</si>
  <si>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</si>
  <si>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</si>
  <si>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</si>
  <si>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</si>
  <si>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</si>
  <si>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</si>
  <si>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</si>
  <si>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</si>
  <si>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</si>
  <si>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</si>
  <si>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</si>
  <si>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</si>
  <si>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</si>
  <si>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</si>
  <si>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</si>
  <si>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</si>
  <si>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</si>
  <si>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</si>
  <si>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</si>
  <si>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</si>
  <si>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</si>
  <si>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</si>
  <si>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</si>
  <si>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</si>
  <si>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</si>
  <si>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</si>
  <si>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</si>
  <si>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</si>
  <si>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</si>
  <si>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</si>
  <si>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</si>
  <si>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</si>
  <si>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</si>
  <si>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</si>
  <si>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</si>
  <si>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</si>
  <si>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</si>
  <si>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</si>
  <si>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</si>
  <si>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</si>
  <si>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</si>
  <si>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</si>
  <si>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</si>
  <si>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</si>
  <si>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</si>
  <si>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</si>
  <si>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</si>
  <si>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</si>
  <si>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</si>
  <si>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</si>
  <si>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</si>
  <si>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</si>
  <si>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</si>
  <si>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</si>
  <si>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</si>
  <si>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</si>
  <si>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</si>
  <si>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</si>
  <si>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</si>
  <si>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</si>
  <si>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</si>
  <si>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</si>
  <si>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</si>
  <si>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</si>
  <si>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</si>
  <si>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</si>
  <si>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</si>
  <si>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</si>
  <si>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</si>
  <si>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</si>
  <si>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</si>
  <si>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</si>
  <si>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</si>
  <si>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</si>
  <si>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</si>
  <si>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</si>
  <si>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</si>
  <si>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</si>
  <si>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</si>
  <si>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</si>
  <si>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</si>
  <si>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</si>
  <si>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</si>
  <si>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</si>
  <si>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</si>
  <si>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</si>
  <si>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</si>
  <si>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</si>
  <si>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</si>
  <si>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</si>
  <si>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</si>
  <si>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</si>
  <si>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</si>
  <si>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</si>
  <si>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</si>
  <si>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</si>
  <si>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</si>
  <si>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</si>
  <si>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</si>
  <si>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</si>
  <si>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</si>
  <si>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</si>
  <si>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</si>
  <si>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</si>
  <si>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</si>
  <si>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</si>
  <si>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</si>
  <si>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</si>
  <si>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</si>
  <si>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</si>
  <si>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</si>
  <si>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</si>
  <si>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</si>
  <si>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</si>
  <si>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</si>
  <si>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</si>
  <si>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</si>
  <si>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</si>
  <si>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</si>
  <si>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</si>
  <si>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</si>
  <si>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</si>
  <si>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</si>
  <si>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</si>
  <si>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</si>
  <si>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</si>
  <si>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</si>
  <si>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</si>
  <si>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</si>
  <si>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</si>
  <si>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</si>
  <si>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</si>
  <si>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</si>
  <si>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</si>
  <si>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</si>
  <si>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</si>
  <si>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</si>
  <si>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</si>
  <si>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</si>
  <si>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</si>
  <si>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</si>
  <si>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</si>
  <si>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</si>
  <si>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</si>
  <si>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</si>
  <si>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</si>
  <si>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</si>
  <si>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</si>
  <si>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</si>
  <si>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</si>
  <si>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</si>
  <si>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</si>
  <si>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</si>
  <si>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</si>
  <si>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</si>
  <si>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</si>
  <si>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</si>
  <si>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</si>
  <si>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</si>
  <si>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</si>
  <si>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</si>
  <si>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</si>
  <si>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</si>
  <si>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</si>
  <si>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</si>
  <si>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</si>
  <si>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</si>
  <si>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</si>
  <si>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</si>
  <si>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</si>
  <si>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</si>
  <si>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</si>
  <si>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</si>
  <si>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</si>
  <si>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</si>
  <si>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</si>
  <si>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</si>
  <si>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</si>
  <si>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</si>
  <si>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</si>
  <si>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</si>
  <si>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</si>
  <si>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</si>
  <si>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</si>
  <si>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</si>
  <si>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</si>
  <si>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</si>
  <si>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</si>
  <si>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</si>
  <si>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</si>
  <si>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</si>
  <si>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</si>
  <si>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</si>
  <si>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</si>
  <si>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</si>
  <si>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</si>
  <si>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</si>
  <si>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</si>
  <si>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</si>
  <si>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</si>
  <si>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</si>
  <si>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</si>
  <si>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</si>
  <si>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</si>
  <si>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</si>
  <si>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</si>
  <si>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</si>
  <si>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</si>
  <si>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</si>
  <si>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</si>
  <si>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</si>
  <si>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</si>
  <si>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</si>
  <si>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</si>
  <si>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</si>
  <si>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</si>
  <si>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</si>
  <si>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</si>
  <si>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</si>
  <si>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</si>
  <si>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</si>
  <si>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</si>
  <si>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</si>
  <si>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</si>
  <si>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</si>
  <si>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</si>
  <si>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</si>
  <si>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</si>
  <si>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</si>
  <si>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</si>
  <si>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</si>
  <si>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</si>
  <si>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</si>
  <si>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</si>
  <si>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</si>
  <si>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</si>
  <si>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</si>
  <si>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</si>
  <si>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</si>
  <si>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</si>
  <si>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</si>
  <si>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</si>
  <si>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</si>
  <si>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</si>
  <si>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</si>
  <si>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</si>
  <si>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</si>
  <si>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</si>
  <si>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</si>
  <si>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</si>
  <si>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</si>
  <si>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</si>
  <si>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</si>
  <si>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</si>
  <si>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</si>
  <si>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</si>
  <si>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</si>
  <si>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</si>
  <si>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</si>
  <si>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</si>
  <si>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</si>
  <si>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</si>
  <si>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</si>
  <si>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</si>
  <si>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</si>
  <si>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</si>
  <si>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</si>
  <si>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</si>
  <si>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</si>
  <si>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</si>
  <si>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</si>
  <si>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</si>
  <si>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</si>
  <si>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</si>
  <si>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</si>
  <si>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</si>
  <si>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</si>
  <si>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</si>
  <si>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</si>
  <si>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</si>
  <si>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</si>
  <si>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</si>
  <si>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</si>
  <si>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</si>
  <si>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</si>
  <si>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</si>
  <si>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</si>
  <si>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</si>
  <si>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</si>
  <si>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</si>
  <si>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</si>
  <si>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</si>
  <si>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</si>
  <si>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</si>
  <si>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</si>
  <si>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</si>
  <si>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</si>
  <si>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</si>
  <si>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</si>
  <si>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</si>
  <si>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</si>
  <si>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</si>
  <si>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</si>
  <si>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</si>
  <si>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</si>
  <si>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</si>
  <si>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</si>
  <si>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</si>
  <si>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</si>
  <si>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</si>
  <si>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</si>
  <si>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</si>
  <si>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</si>
  <si>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</si>
  <si>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</si>
  <si>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</si>
  <si>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</si>
  <si>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</si>
  <si>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</si>
  <si>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</si>
  <si>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</si>
  <si>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</si>
  <si>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</si>
  <si>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</si>
  <si>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</si>
  <si>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</si>
  <si>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</si>
  <si>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</si>
  <si>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</si>
  <si>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</si>
  <si>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</si>
  <si>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</si>
  <si>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</si>
  <si>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</si>
  <si>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</si>
  <si>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</si>
  <si>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</si>
  <si>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</si>
  <si>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</si>
  <si>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</si>
  <si>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</si>
  <si>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</si>
  <si>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</si>
  <si>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</si>
  <si>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</si>
  <si>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</si>
  <si>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</si>
  <si>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</si>
  <si>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</si>
  <si>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</si>
  <si>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</si>
  <si>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</si>
  <si>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</si>
  <si>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</si>
  <si>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</si>
  <si>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</si>
  <si>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</si>
  <si>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</si>
  <si>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</si>
  <si>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</si>
  <si>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</si>
  <si>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</si>
  <si>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</si>
  <si>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</si>
  <si>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</si>
  <si>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</si>
  <si>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</si>
  <si>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</si>
  <si>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</si>
  <si>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</si>
  <si>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</si>
  <si>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</si>
  <si>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</si>
  <si>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</si>
  <si>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</si>
  <si>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</si>
  <si>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</si>
  <si>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</si>
  <si>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</si>
  <si>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</si>
  <si>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</si>
  <si>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</si>
  <si>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</si>
  <si>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</si>
  <si>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</si>
  <si>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</si>
  <si>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</si>
  <si>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</si>
  <si>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</si>
  <si>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</si>
  <si>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</si>
  <si>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</si>
  <si>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</si>
  <si>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</si>
  <si>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</si>
  <si>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</si>
  <si>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</si>
  <si>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</si>
  <si>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</si>
  <si>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</si>
  <si>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</si>
  <si>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</si>
  <si>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</si>
  <si>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</si>
  <si>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</si>
  <si>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</si>
  <si>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</si>
  <si>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</si>
  <si>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</si>
  <si>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</si>
  <si>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</si>
  <si>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</si>
  <si>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</si>
  <si>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</si>
  <si>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</si>
  <si>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</si>
  <si>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</si>
  <si>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</si>
  <si>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</si>
  <si>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</si>
  <si>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</si>
  <si>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</si>
  <si>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</si>
  <si>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</si>
  <si>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</si>
  <si>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</si>
  <si>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</si>
  <si>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</si>
  <si>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</si>
  <si>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</si>
  <si>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</si>
  <si>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</si>
  <si>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</si>
  <si>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</si>
  <si>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</si>
  <si>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</si>
  <si>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</si>
  <si>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</si>
  <si>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</si>
  <si>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</si>
  <si>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</si>
  <si>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</si>
  <si>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</si>
  <si>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</si>
  <si>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</si>
  <si>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</si>
  <si>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</si>
  <si>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</si>
  <si>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</si>
  <si>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</si>
  <si>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</si>
  <si>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</si>
  <si>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</si>
  <si>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</si>
  <si>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</si>
  <si>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</si>
  <si>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</si>
  <si>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</si>
  <si>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</si>
  <si>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</si>
  <si>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</si>
  <si>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</si>
  <si>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</si>
  <si>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</si>
  <si>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</si>
  <si>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</si>
  <si>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</si>
  <si>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</si>
  <si>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</si>
  <si>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</si>
  <si>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</si>
  <si>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</si>
  <si>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</si>
  <si>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</si>
  <si>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</si>
  <si>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</si>
  <si>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</si>
  <si>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</si>
  <si>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</si>
  <si>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</si>
  <si>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</si>
  <si>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</si>
  <si>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</si>
  <si>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</si>
  <si>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</si>
  <si>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</si>
  <si>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</si>
  <si>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</si>
  <si>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</si>
  <si>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</si>
  <si>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</si>
  <si>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</si>
  <si>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</si>
  <si>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</si>
  <si>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</si>
  <si>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</si>
  <si>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</si>
  <si>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</si>
  <si>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</si>
  <si>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</si>
  <si>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</si>
  <si>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</si>
  <si>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</si>
  <si>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</si>
  <si>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</si>
  <si>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</si>
  <si>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</si>
  <si>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</si>
  <si>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</si>
  <si>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</si>
  <si>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</si>
  <si>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</si>
  <si>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</si>
  <si>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</si>
  <si>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</si>
  <si>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</si>
  <si>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</si>
  <si>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</si>
  <si>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</si>
  <si>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</si>
  <si>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</si>
  <si>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</si>
  <si>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</si>
  <si>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</si>
  <si>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</si>
  <si>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</si>
  <si>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</si>
  <si>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</si>
  <si>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</si>
  <si>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</si>
  <si>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</si>
  <si>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</si>
  <si>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</si>
  <si>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</si>
  <si>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</si>
  <si>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</si>
  <si>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</si>
  <si>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</si>
  <si>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</si>
  <si>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</si>
  <si>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</si>
  <si>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</si>
  <si>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</si>
  <si>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</si>
  <si>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</si>
  <si>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</si>
  <si>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</si>
  <si>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</si>
  <si>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</si>
  <si>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</si>
  <si>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</si>
  <si>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</si>
  <si>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</si>
  <si>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</si>
  <si>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</si>
  <si>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</si>
  <si>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</si>
  <si>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</si>
  <si>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</si>
  <si>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</si>
  <si>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</si>
  <si>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</si>
  <si>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</si>
  <si>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</si>
  <si>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</si>
  <si>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</si>
  <si>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</si>
  <si>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</si>
  <si>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</si>
  <si>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</si>
  <si>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</si>
  <si>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</si>
  <si>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</si>
  <si>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</si>
  <si>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</si>
  <si>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</si>
  <si>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</si>
  <si>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</si>
  <si>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</si>
  <si>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</si>
  <si>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</si>
  <si>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</si>
  <si>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</si>
  <si>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</si>
  <si>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</si>
  <si>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</si>
  <si>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</si>
  <si>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</si>
  <si>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</si>
  <si>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</si>
  <si>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</si>
  <si>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</si>
  <si>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</si>
  <si>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</si>
  <si>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</si>
  <si>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06/27</t>
  </si>
  <si>
    <t>08/46</t>
  </si>
  <si>
    <t>Newmarket</t>
  </si>
  <si>
    <t>NO INDIRECT COSTS USED BY DISTRICT--DID NOT COMPLETE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</si>
</sst>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3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399</v>
      </c>
      <c r="C2" s="21">
        <v>399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1307261.02</v>
      </c>
      <c r="G9" s="18">
        <v>0</v>
      </c>
      <c r="H9" s="18">
        <v>0</v>
      </c>
      <c r="I9" s="18">
        <v>0</v>
      </c>
      <c r="J9" s="67">
        <f>SUM(I439)</f>
        <v>724713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0</v>
      </c>
      <c r="G12" s="18"/>
      <c r="H12" s="18">
        <v>28504.34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246636.79999999999</v>
      </c>
      <c r="G13" s="18">
        <v>13145.95</v>
      </c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43722.080000000002</v>
      </c>
      <c r="G14" s="18"/>
      <c r="H14" s="18">
        <v>99488.36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11462.63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>
        <v>-6151.55</v>
      </c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1597619.9000000001</v>
      </c>
      <c r="G19" s="41">
        <f>SUM(G9:G18)</f>
        <v>18457.030000000002</v>
      </c>
      <c r="H19" s="41">
        <f>SUM(H9:H18)</f>
        <v>127992.7</v>
      </c>
      <c r="I19" s="41">
        <f>SUM(I9:I18)</f>
        <v>0</v>
      </c>
      <c r="J19" s="41">
        <f>SUM(J9:J18)</f>
        <v>724713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65016.46</v>
      </c>
      <c r="G22" s="18">
        <v>-5967.56</v>
      </c>
      <c r="H22" s="18">
        <v>99488.36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>
        <v>246636.79999999999</v>
      </c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496938.18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561954.64</v>
      </c>
      <c r="G32" s="41">
        <f>SUM(G22:G31)</f>
        <v>-5967.56</v>
      </c>
      <c r="H32" s="41">
        <f>SUM(H22:H31)</f>
        <v>99488.36</v>
      </c>
      <c r="I32" s="41">
        <f>SUM(I22:I31)</f>
        <v>246636.79999999999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24424.59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>
        <v>28504.34</v>
      </c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331097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>
        <v>-246636.79999999999</v>
      </c>
      <c r="J48" s="13">
        <f>SUM(I459)</f>
        <v>724713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103988.04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600580.22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1035665.26</v>
      </c>
      <c r="G51" s="41">
        <f>SUM(G35:G50)</f>
        <v>24424.59</v>
      </c>
      <c r="H51" s="41">
        <f>SUM(H35:H50)</f>
        <v>28504.34</v>
      </c>
      <c r="I51" s="41">
        <f>SUM(I35:I50)</f>
        <v>-246636.79999999999</v>
      </c>
      <c r="J51" s="41">
        <f>SUM(J35:J50)</f>
        <v>724713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1597619.9</v>
      </c>
      <c r="G52" s="41">
        <f>G51+G32</f>
        <v>18457.03</v>
      </c>
      <c r="H52" s="41">
        <f>H51+H32</f>
        <v>127992.7</v>
      </c>
      <c r="I52" s="41">
        <f>I51+I32</f>
        <v>0</v>
      </c>
      <c r="J52" s="41">
        <f>J51+J32</f>
        <v>724713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11500033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11500033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14827.7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4590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23087.46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42505.16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1852.45</v>
      </c>
      <c r="G96" s="18"/>
      <c r="H96" s="18"/>
      <c r="I96" s="18"/>
      <c r="J96" s="18">
        <v>2015.73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175192.6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1000</v>
      </c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30447.439999999999</v>
      </c>
      <c r="G110" s="18">
        <v>3003.65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33299.89</v>
      </c>
      <c r="G111" s="41">
        <f>SUM(G96:G110)</f>
        <v>178196.25</v>
      </c>
      <c r="H111" s="41">
        <f>SUM(H96:H110)</f>
        <v>0</v>
      </c>
      <c r="I111" s="41">
        <f>SUM(I96:I110)</f>
        <v>0</v>
      </c>
      <c r="J111" s="41">
        <f>SUM(J96:J110)</f>
        <v>2015.73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11575838.050000001</v>
      </c>
      <c r="G112" s="41">
        <f>G60+G111</f>
        <v>178196.25</v>
      </c>
      <c r="H112" s="41">
        <f>H60+H79+H94+H111</f>
        <v>0</v>
      </c>
      <c r="I112" s="41">
        <f>I60+I111</f>
        <v>0</v>
      </c>
      <c r="J112" s="41">
        <f>J60+J111</f>
        <v>2015.73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2469470.2200000002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1743845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9291.92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4222607.1400000006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540931.79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128682.64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17155.2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5032.42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686769.63</v>
      </c>
      <c r="G136" s="41">
        <f>SUM(G123:G135)</f>
        <v>5032.42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4909376.7700000005</v>
      </c>
      <c r="G140" s="41">
        <f>G121+SUM(G136:G137)</f>
        <v>5032.42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>
        <v>23187</v>
      </c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23187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162898.97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56553.79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139957.37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278081.78000000003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280061.18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280061.18</v>
      </c>
      <c r="G162" s="41">
        <f>SUM(G150:G161)</f>
        <v>139957.37</v>
      </c>
      <c r="H162" s="41">
        <f>SUM(H150:H161)</f>
        <v>497534.54000000004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>
        <v>33470.97</v>
      </c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280061.18</v>
      </c>
      <c r="G169" s="41">
        <f>G147+G162+SUM(G163:G168)</f>
        <v>163144.37</v>
      </c>
      <c r="H169" s="41">
        <f>H147+H162+SUM(H163:H168)</f>
        <v>531005.51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45.88</v>
      </c>
      <c r="H179" s="18"/>
      <c r="I179" s="18"/>
      <c r="J179" s="18">
        <v>150000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45.88</v>
      </c>
      <c r="H183" s="41">
        <f>SUM(H179:H182)</f>
        <v>0</v>
      </c>
      <c r="I183" s="41">
        <f>SUM(I179:I182)</f>
        <v>0</v>
      </c>
      <c r="J183" s="41">
        <f>SUM(J179:J182)</f>
        <v>150000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224888.63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224888.63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224888.63</v>
      </c>
      <c r="G192" s="41">
        <f>G183+SUM(G188:G191)</f>
        <v>45.88</v>
      </c>
      <c r="H192" s="41">
        <f>+H183+SUM(H188:H191)</f>
        <v>0</v>
      </c>
      <c r="I192" s="41">
        <f>I177+I183+SUM(I188:I191)</f>
        <v>0</v>
      </c>
      <c r="J192" s="41">
        <f>J183</f>
        <v>150000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16990164.629999999</v>
      </c>
      <c r="G193" s="47">
        <f>G112+G140+G169+G192</f>
        <v>346418.92000000004</v>
      </c>
      <c r="H193" s="47">
        <f>H112+H140+H169+H192</f>
        <v>531005.51</v>
      </c>
      <c r="I193" s="47">
        <f>I112+I140+I169+I192</f>
        <v>0</v>
      </c>
      <c r="J193" s="47">
        <f>J112+J140+J192</f>
        <v>152015.73000000001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2841550.73</v>
      </c>
      <c r="G197" s="18">
        <v>1435321.81</v>
      </c>
      <c r="H197" s="18">
        <v>1239.5999999999999</v>
      </c>
      <c r="I197" s="18">
        <v>75731.360000000001</v>
      </c>
      <c r="J197" s="18">
        <v>41256.89</v>
      </c>
      <c r="K197" s="18">
        <v>1632.2</v>
      </c>
      <c r="L197" s="19">
        <f>SUM(F197:K197)</f>
        <v>4396732.59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1366401.77</v>
      </c>
      <c r="G198" s="18">
        <v>567884.27</v>
      </c>
      <c r="H198" s="18">
        <v>715801.79</v>
      </c>
      <c r="I198" s="18">
        <v>8525.2900000000009</v>
      </c>
      <c r="J198" s="18">
        <v>7758.29</v>
      </c>
      <c r="K198" s="18"/>
      <c r="L198" s="19">
        <f>SUM(F198:K198)</f>
        <v>2666371.41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294266.32999999996</v>
      </c>
      <c r="G200" s="18">
        <v>101029.12000000002</v>
      </c>
      <c r="H200" s="18">
        <v>3184</v>
      </c>
      <c r="I200" s="18">
        <v>1851</v>
      </c>
      <c r="J200" s="18"/>
      <c r="K200" s="18"/>
      <c r="L200" s="19">
        <f>SUM(F200:K200)</f>
        <v>400330.44999999995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554824.6</v>
      </c>
      <c r="G202" s="18">
        <v>303501.2</v>
      </c>
      <c r="H202" s="18">
        <v>4660.9799999999996</v>
      </c>
      <c r="I202" s="18">
        <v>8118.21</v>
      </c>
      <c r="J202" s="18">
        <v>115.6</v>
      </c>
      <c r="K202" s="18"/>
      <c r="L202" s="19">
        <f t="shared" ref="L202:L208" si="0">SUM(F202:K202)</f>
        <v>871220.59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278582.36</v>
      </c>
      <c r="G203" s="18">
        <v>119171.94999999998</v>
      </c>
      <c r="H203" s="18">
        <v>87709.10000000002</v>
      </c>
      <c r="I203" s="18">
        <v>84545.06</v>
      </c>
      <c r="J203" s="18">
        <v>102867.25</v>
      </c>
      <c r="K203" s="18">
        <v>1330.27</v>
      </c>
      <c r="L203" s="19">
        <f t="shared" si="0"/>
        <v>674205.99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258270.81000000003</v>
      </c>
      <c r="G204" s="18">
        <v>119265.06</v>
      </c>
      <c r="H204" s="18">
        <v>86714.55</v>
      </c>
      <c r="I204" s="18">
        <v>8170.1100000000006</v>
      </c>
      <c r="J204" s="18"/>
      <c r="K204" s="18">
        <v>25775.899999999998</v>
      </c>
      <c r="L204" s="19">
        <f t="shared" si="0"/>
        <v>498196.43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358225.64</v>
      </c>
      <c r="G205" s="18">
        <v>128409.82999999999</v>
      </c>
      <c r="H205" s="18">
        <v>35593.269999999997</v>
      </c>
      <c r="I205" s="18">
        <v>3930.37</v>
      </c>
      <c r="J205" s="18">
        <v>3451.86</v>
      </c>
      <c r="K205" s="18"/>
      <c r="L205" s="19">
        <f t="shared" si="0"/>
        <v>529610.97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116002.58</v>
      </c>
      <c r="G206" s="18">
        <v>31751.79</v>
      </c>
      <c r="H206" s="18">
        <v>9709.64</v>
      </c>
      <c r="I206" s="18">
        <v>10932.07</v>
      </c>
      <c r="J206" s="18"/>
      <c r="K206" s="18">
        <v>1924.73</v>
      </c>
      <c r="L206" s="19">
        <f t="shared" si="0"/>
        <v>170320.81000000003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238970.35</v>
      </c>
      <c r="G207" s="18">
        <v>96511.809999999983</v>
      </c>
      <c r="H207" s="18">
        <v>169209.69</v>
      </c>
      <c r="I207" s="18">
        <v>146055.12999999998</v>
      </c>
      <c r="J207" s="18">
        <v>23279.64</v>
      </c>
      <c r="K207" s="18"/>
      <c r="L207" s="19">
        <f t="shared" si="0"/>
        <v>674026.62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9905.2900000000009</v>
      </c>
      <c r="G208" s="18">
        <v>2006.54</v>
      </c>
      <c r="H208" s="18">
        <v>374341.51</v>
      </c>
      <c r="I208" s="18"/>
      <c r="J208" s="18"/>
      <c r="K208" s="18"/>
      <c r="L208" s="19">
        <f t="shared" si="0"/>
        <v>386253.34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2765.05</v>
      </c>
      <c r="G209" s="18">
        <v>520.51</v>
      </c>
      <c r="H209" s="18">
        <v>59402</v>
      </c>
      <c r="I209" s="18"/>
      <c r="J209" s="18"/>
      <c r="K209" s="18"/>
      <c r="L209" s="19">
        <f>SUM(F209:K209)</f>
        <v>62687.56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6319765.5099999988</v>
      </c>
      <c r="G211" s="41">
        <f t="shared" si="1"/>
        <v>2905373.8900000006</v>
      </c>
      <c r="H211" s="41">
        <f t="shared" si="1"/>
        <v>1547566.1300000001</v>
      </c>
      <c r="I211" s="41">
        <f t="shared" si="1"/>
        <v>347858.6</v>
      </c>
      <c r="J211" s="41">
        <f t="shared" si="1"/>
        <v>178729.52999999997</v>
      </c>
      <c r="K211" s="41">
        <f t="shared" si="1"/>
        <v>30663.1</v>
      </c>
      <c r="L211" s="41">
        <f t="shared" si="1"/>
        <v>11329956.76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1108090.44</v>
      </c>
      <c r="G233" s="18">
        <v>558105.72000000009</v>
      </c>
      <c r="H233" s="18">
        <v>2984.33</v>
      </c>
      <c r="I233" s="18">
        <v>46506.89</v>
      </c>
      <c r="J233" s="18">
        <v>15680.79</v>
      </c>
      <c r="K233" s="18">
        <v>9742.7999999999993</v>
      </c>
      <c r="L233" s="19">
        <f>SUM(F233:K233)</f>
        <v>1741110.9700000002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579064.72000000009</v>
      </c>
      <c r="G234" s="18">
        <v>228293.36000000004</v>
      </c>
      <c r="H234" s="18">
        <v>275468.42</v>
      </c>
      <c r="I234" s="18">
        <v>2482.6499999999996</v>
      </c>
      <c r="J234" s="18">
        <v>565.63</v>
      </c>
      <c r="K234" s="18"/>
      <c r="L234" s="19">
        <f>SUM(F234:K234)</f>
        <v>1085874.7799999998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137669.75</v>
      </c>
      <c r="I235" s="18"/>
      <c r="J235" s="18"/>
      <c r="K235" s="18"/>
      <c r="L235" s="19">
        <f>SUM(F235:K235)</f>
        <v>137669.75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77297.259999999995</v>
      </c>
      <c r="G236" s="18">
        <v>17206.77</v>
      </c>
      <c r="H236" s="18">
        <v>33227.58</v>
      </c>
      <c r="I236" s="18">
        <v>6226.03</v>
      </c>
      <c r="J236" s="18"/>
      <c r="K236" s="18">
        <v>11639.9</v>
      </c>
      <c r="L236" s="19">
        <f>SUM(F236:K236)</f>
        <v>145597.54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172544.4</v>
      </c>
      <c r="G238" s="18">
        <v>93240.129999999976</v>
      </c>
      <c r="H238" s="18">
        <v>3842.31</v>
      </c>
      <c r="I238" s="18">
        <v>5335.6399999999994</v>
      </c>
      <c r="J238" s="18">
        <v>173.4</v>
      </c>
      <c r="K238" s="18">
        <v>1120</v>
      </c>
      <c r="L238" s="19">
        <f t="shared" ref="L238:L244" si="4">SUM(F238:K238)</f>
        <v>276255.88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93137.62000000001</v>
      </c>
      <c r="G239" s="18">
        <v>61088.910000000011</v>
      </c>
      <c r="H239" s="18">
        <v>34604.699999999997</v>
      </c>
      <c r="I239" s="18">
        <v>34264.76</v>
      </c>
      <c r="J239" s="18">
        <v>42155.22</v>
      </c>
      <c r="K239" s="18">
        <v>420.08</v>
      </c>
      <c r="L239" s="19">
        <f t="shared" si="4"/>
        <v>265671.2900000001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81559.199999999997</v>
      </c>
      <c r="G240" s="18">
        <v>37662.65</v>
      </c>
      <c r="H240" s="18">
        <v>27383.55</v>
      </c>
      <c r="I240" s="18">
        <v>2580.04</v>
      </c>
      <c r="J240" s="18"/>
      <c r="K240" s="18">
        <v>23288.659999999993</v>
      </c>
      <c r="L240" s="19">
        <f t="shared" si="4"/>
        <v>172474.1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178431.68</v>
      </c>
      <c r="G241" s="18">
        <v>97229.119999999995</v>
      </c>
      <c r="H241" s="18">
        <v>17000.310000000001</v>
      </c>
      <c r="I241" s="18">
        <v>1197.55</v>
      </c>
      <c r="J241" s="18">
        <v>4720.16</v>
      </c>
      <c r="K241" s="18">
        <v>8214.51</v>
      </c>
      <c r="L241" s="19">
        <f t="shared" si="4"/>
        <v>306793.32999999996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36632.39</v>
      </c>
      <c r="G242" s="18">
        <v>10026.879999999999</v>
      </c>
      <c r="H242" s="18">
        <v>3066.2</v>
      </c>
      <c r="I242" s="18">
        <v>3452.24</v>
      </c>
      <c r="J242" s="18"/>
      <c r="K242" s="18">
        <v>607.80999999999995</v>
      </c>
      <c r="L242" s="19">
        <f t="shared" si="4"/>
        <v>53785.51999999999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93977.84</v>
      </c>
      <c r="G243" s="18">
        <v>40777.42</v>
      </c>
      <c r="H243" s="18">
        <v>80870.079999999987</v>
      </c>
      <c r="I243" s="18">
        <v>77908.160000000003</v>
      </c>
      <c r="J243" s="18">
        <v>8187.71</v>
      </c>
      <c r="K243" s="18"/>
      <c r="L243" s="19">
        <f t="shared" si="4"/>
        <v>301721.21000000002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171715.32</v>
      </c>
      <c r="I244" s="18"/>
      <c r="J244" s="18"/>
      <c r="K244" s="18"/>
      <c r="L244" s="19">
        <f t="shared" si="4"/>
        <v>171715.32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551.04</v>
      </c>
      <c r="G245" s="18">
        <v>103.56</v>
      </c>
      <c r="H245" s="18"/>
      <c r="I245" s="18"/>
      <c r="J245" s="18"/>
      <c r="K245" s="18"/>
      <c r="L245" s="19">
        <f>SUM(F245:K245)</f>
        <v>654.59999999999991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2421286.5900000003</v>
      </c>
      <c r="G247" s="41">
        <f t="shared" si="5"/>
        <v>1143734.52</v>
      </c>
      <c r="H247" s="41">
        <f t="shared" si="5"/>
        <v>787832.55</v>
      </c>
      <c r="I247" s="41">
        <f t="shared" si="5"/>
        <v>179953.96000000002</v>
      </c>
      <c r="J247" s="41">
        <f t="shared" si="5"/>
        <v>71482.91</v>
      </c>
      <c r="K247" s="41">
        <f t="shared" si="5"/>
        <v>55033.759999999987</v>
      </c>
      <c r="L247" s="41">
        <f t="shared" si="5"/>
        <v>4659324.29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150000</v>
      </c>
      <c r="I255" s="18"/>
      <c r="J255" s="18">
        <v>166441.37</v>
      </c>
      <c r="K255" s="18"/>
      <c r="L255" s="19">
        <f t="shared" si="6"/>
        <v>316441.37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150000</v>
      </c>
      <c r="I256" s="41">
        <f t="shared" si="7"/>
        <v>0</v>
      </c>
      <c r="J256" s="41">
        <f t="shared" si="7"/>
        <v>166441.37</v>
      </c>
      <c r="K256" s="41">
        <f t="shared" si="7"/>
        <v>0</v>
      </c>
      <c r="L256" s="41">
        <f>SUM(F256:K256)</f>
        <v>316441.37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8741052.0999999996</v>
      </c>
      <c r="G257" s="41">
        <f t="shared" si="8"/>
        <v>4049108.4100000006</v>
      </c>
      <c r="H257" s="41">
        <f t="shared" si="8"/>
        <v>2485398.6800000002</v>
      </c>
      <c r="I257" s="41">
        <f t="shared" si="8"/>
        <v>527812.56000000006</v>
      </c>
      <c r="J257" s="41">
        <f t="shared" si="8"/>
        <v>416653.80999999994</v>
      </c>
      <c r="K257" s="41">
        <f t="shared" si="8"/>
        <v>85696.859999999986</v>
      </c>
      <c r="L257" s="41">
        <f t="shared" si="8"/>
        <v>16305722.42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45.88</v>
      </c>
      <c r="L263" s="19">
        <f>SUM(F263:K263)</f>
        <v>45.88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150000</v>
      </c>
      <c r="L266" s="19">
        <f t="shared" si="9"/>
        <v>150000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150045.88</v>
      </c>
      <c r="L270" s="41">
        <f t="shared" si="9"/>
        <v>150045.88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8741052.0999999996</v>
      </c>
      <c r="G271" s="42">
        <f t="shared" si="11"/>
        <v>4049108.4100000006</v>
      </c>
      <c r="H271" s="42">
        <f t="shared" si="11"/>
        <v>2485398.6800000002</v>
      </c>
      <c r="I271" s="42">
        <f t="shared" si="11"/>
        <v>527812.56000000006</v>
      </c>
      <c r="J271" s="42">
        <f t="shared" si="11"/>
        <v>416653.80999999994</v>
      </c>
      <c r="K271" s="42">
        <f t="shared" si="11"/>
        <v>235742.74</v>
      </c>
      <c r="L271" s="42">
        <f t="shared" si="11"/>
        <v>16455768.300000001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93344.12</v>
      </c>
      <c r="G276" s="18">
        <v>38512.81</v>
      </c>
      <c r="H276" s="18">
        <v>1820.72</v>
      </c>
      <c r="I276" s="18">
        <v>2258.29</v>
      </c>
      <c r="J276" s="18">
        <v>5198.6499999999996</v>
      </c>
      <c r="K276" s="18"/>
      <c r="L276" s="19">
        <f>SUM(F276:K276)</f>
        <v>141134.59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174558.21</v>
      </c>
      <c r="G277" s="18">
        <v>91927.17</v>
      </c>
      <c r="H277" s="18">
        <v>5250.36</v>
      </c>
      <c r="I277" s="18">
        <v>1786</v>
      </c>
      <c r="J277" s="18">
        <v>3691.69</v>
      </c>
      <c r="K277" s="18">
        <v>676.83</v>
      </c>
      <c r="L277" s="19">
        <f>SUM(F277:K277)</f>
        <v>277890.26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>
        <v>133</v>
      </c>
      <c r="I278" s="18"/>
      <c r="J278" s="18"/>
      <c r="K278" s="18"/>
      <c r="L278" s="19">
        <f>SUM(F278:K278)</f>
        <v>133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>
        <v>416.76</v>
      </c>
      <c r="J279" s="18"/>
      <c r="K279" s="18"/>
      <c r="L279" s="19">
        <f>SUM(F279:K279)</f>
        <v>416.76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9584</v>
      </c>
      <c r="G282" s="18">
        <v>2023.64</v>
      </c>
      <c r="H282" s="18">
        <v>47812.72</v>
      </c>
      <c r="I282" s="18">
        <v>630.49</v>
      </c>
      <c r="J282" s="18"/>
      <c r="K282" s="18"/>
      <c r="L282" s="19">
        <f t="shared" si="12"/>
        <v>60050.85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>
        <v>481.52</v>
      </c>
      <c r="K285" s="18"/>
      <c r="L285" s="19">
        <f t="shared" si="12"/>
        <v>481.52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500</v>
      </c>
      <c r="I287" s="18"/>
      <c r="J287" s="18"/>
      <c r="K287" s="18"/>
      <c r="L287" s="19">
        <f t="shared" si="12"/>
        <v>500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277486.32999999996</v>
      </c>
      <c r="G290" s="42">
        <f t="shared" si="13"/>
        <v>132463.62</v>
      </c>
      <c r="H290" s="42">
        <f t="shared" si="13"/>
        <v>55516.800000000003</v>
      </c>
      <c r="I290" s="42">
        <f t="shared" si="13"/>
        <v>5091.54</v>
      </c>
      <c r="J290" s="42">
        <f t="shared" si="13"/>
        <v>9371.86</v>
      </c>
      <c r="K290" s="42">
        <f t="shared" si="13"/>
        <v>676.83</v>
      </c>
      <c r="L290" s="41">
        <f t="shared" si="13"/>
        <v>480606.98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>
        <v>405</v>
      </c>
      <c r="I314" s="18">
        <v>1155.23</v>
      </c>
      <c r="J314" s="18">
        <v>9202.0499999999993</v>
      </c>
      <c r="K314" s="18">
        <v>-500</v>
      </c>
      <c r="L314" s="19">
        <f>SUM(F314:K314)</f>
        <v>10262.279999999999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1001.79</v>
      </c>
      <c r="G315" s="18">
        <v>208.26</v>
      </c>
      <c r="H315" s="18">
        <v>78.72</v>
      </c>
      <c r="I315" s="18">
        <v>62.309999999999995</v>
      </c>
      <c r="J315" s="18">
        <v>749.21</v>
      </c>
      <c r="K315" s="18">
        <v>213.73</v>
      </c>
      <c r="L315" s="19">
        <f>SUM(F315:K315)</f>
        <v>2314.02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>
        <v>42</v>
      </c>
      <c r="I316" s="18"/>
      <c r="J316" s="18"/>
      <c r="K316" s="18"/>
      <c r="L316" s="19">
        <f>SUM(F316:K316)</f>
        <v>42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270</v>
      </c>
      <c r="G317" s="18">
        <v>62.97</v>
      </c>
      <c r="H317" s="18"/>
      <c r="I317" s="18">
        <v>9.09</v>
      </c>
      <c r="J317" s="18"/>
      <c r="K317" s="18"/>
      <c r="L317" s="19">
        <f>SUM(F317:K317)</f>
        <v>342.06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2316</v>
      </c>
      <c r="G320" s="18">
        <v>533.66999999999996</v>
      </c>
      <c r="H320" s="18">
        <v>22476.3</v>
      </c>
      <c r="I320" s="18">
        <v>105.6</v>
      </c>
      <c r="J320" s="18"/>
      <c r="K320" s="18"/>
      <c r="L320" s="19">
        <f t="shared" si="16"/>
        <v>25431.57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>
        <v>275</v>
      </c>
      <c r="I325" s="18"/>
      <c r="J325" s="18"/>
      <c r="K325" s="18"/>
      <c r="L325" s="19">
        <f t="shared" si="16"/>
        <v>275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3587.79</v>
      </c>
      <c r="G328" s="42">
        <f t="shared" si="17"/>
        <v>804.9</v>
      </c>
      <c r="H328" s="42">
        <f t="shared" si="17"/>
        <v>23277.02</v>
      </c>
      <c r="I328" s="42">
        <f t="shared" si="17"/>
        <v>1332.2299999999998</v>
      </c>
      <c r="J328" s="42">
        <f t="shared" si="17"/>
        <v>9951.2599999999984</v>
      </c>
      <c r="K328" s="42">
        <f t="shared" si="17"/>
        <v>-286.27</v>
      </c>
      <c r="L328" s="41">
        <f t="shared" si="17"/>
        <v>38666.93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281074.11999999994</v>
      </c>
      <c r="G338" s="41">
        <f t="shared" si="20"/>
        <v>133268.51999999999</v>
      </c>
      <c r="H338" s="41">
        <f t="shared" si="20"/>
        <v>78793.820000000007</v>
      </c>
      <c r="I338" s="41">
        <f t="shared" si="20"/>
        <v>6423.7699999999995</v>
      </c>
      <c r="J338" s="41">
        <f t="shared" si="20"/>
        <v>19323.12</v>
      </c>
      <c r="K338" s="41">
        <f t="shared" si="20"/>
        <v>390.56000000000006</v>
      </c>
      <c r="L338" s="41">
        <f t="shared" si="20"/>
        <v>519273.91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281074.11999999994</v>
      </c>
      <c r="G352" s="41">
        <f>G338</f>
        <v>133268.51999999999</v>
      </c>
      <c r="H352" s="41">
        <f>H338</f>
        <v>78793.820000000007</v>
      </c>
      <c r="I352" s="41">
        <f>I338</f>
        <v>6423.7699999999995</v>
      </c>
      <c r="J352" s="41">
        <f>J338</f>
        <v>19323.12</v>
      </c>
      <c r="K352" s="47">
        <f>K338+K351</f>
        <v>390.56000000000006</v>
      </c>
      <c r="L352" s="41">
        <f>L338+L351</f>
        <v>519273.91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117907.04000000001</v>
      </c>
      <c r="G358" s="18">
        <v>45603.619999999995</v>
      </c>
      <c r="H358" s="18">
        <v>5122.41</v>
      </c>
      <c r="I358" s="18">
        <v>119675.48000000001</v>
      </c>
      <c r="J358" s="18"/>
      <c r="K358" s="18">
        <v>535.79999999999995</v>
      </c>
      <c r="L358" s="13">
        <f>SUM(F358:K358)</f>
        <v>288844.35000000003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17088.29</v>
      </c>
      <c r="G360" s="18">
        <v>3203.94</v>
      </c>
      <c r="H360" s="18">
        <v>2277.48</v>
      </c>
      <c r="I360" s="18">
        <v>30209.13</v>
      </c>
      <c r="J360" s="18"/>
      <c r="K360" s="18">
        <v>169.2</v>
      </c>
      <c r="L360" s="19">
        <f>SUM(F360:K360)</f>
        <v>52948.039999999994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134995.33000000002</v>
      </c>
      <c r="G362" s="47">
        <f t="shared" si="22"/>
        <v>48807.56</v>
      </c>
      <c r="H362" s="47">
        <f t="shared" si="22"/>
        <v>7399.8899999999994</v>
      </c>
      <c r="I362" s="47">
        <f t="shared" si="22"/>
        <v>149884.61000000002</v>
      </c>
      <c r="J362" s="47">
        <f t="shared" si="22"/>
        <v>0</v>
      </c>
      <c r="K362" s="47">
        <f t="shared" si="22"/>
        <v>705</v>
      </c>
      <c r="L362" s="47">
        <f t="shared" si="22"/>
        <v>341792.39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115351.45000000001</v>
      </c>
      <c r="G367" s="18"/>
      <c r="H367" s="18">
        <v>29242.34</v>
      </c>
      <c r="I367" s="56">
        <f>SUM(F367:H367)</f>
        <v>144593.79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4324.0300000000007</v>
      </c>
      <c r="G368" s="63"/>
      <c r="H368" s="63">
        <v>966.79</v>
      </c>
      <c r="I368" s="56">
        <f>SUM(F368:H368)</f>
        <v>5290.8200000000006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119675.48000000001</v>
      </c>
      <c r="G369" s="47">
        <f>SUM(G367:G368)</f>
        <v>0</v>
      </c>
      <c r="H369" s="47">
        <f>SUM(H367:H368)</f>
        <v>30209.13</v>
      </c>
      <c r="I369" s="47">
        <f>SUM(I367:I368)</f>
        <v>149884.61000000002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>
        <v>246636.79999999999</v>
      </c>
      <c r="I376" s="18"/>
      <c r="J376" s="18"/>
      <c r="K376" s="18"/>
      <c r="L376" s="13">
        <f t="shared" si="23"/>
        <v>246636.79999999999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246636.79999999999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246636.79999999999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>
        <v>36.129999999999995</v>
      </c>
      <c r="I387" s="18"/>
      <c r="J387" s="24" t="s">
        <v>288</v>
      </c>
      <c r="K387" s="24" t="s">
        <v>288</v>
      </c>
      <c r="L387" s="56">
        <f t="shared" ref="L387:L392" si="25">SUM(F387:K387)</f>
        <v>36.129999999999995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>
        <v>150000</v>
      </c>
      <c r="H388" s="18">
        <v>303.82</v>
      </c>
      <c r="I388" s="18"/>
      <c r="J388" s="24" t="s">
        <v>288</v>
      </c>
      <c r="K388" s="24" t="s">
        <v>288</v>
      </c>
      <c r="L388" s="56">
        <f t="shared" si="25"/>
        <v>150303.82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150000</v>
      </c>
      <c r="H393" s="139">
        <f>SUM(H387:H392)</f>
        <v>339.95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150339.95000000001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740.67</v>
      </c>
      <c r="I396" s="18"/>
      <c r="J396" s="24" t="s">
        <v>288</v>
      </c>
      <c r="K396" s="24" t="s">
        <v>288</v>
      </c>
      <c r="L396" s="56">
        <f t="shared" si="26"/>
        <v>740.67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770.6</v>
      </c>
      <c r="I397" s="18"/>
      <c r="J397" s="24" t="s">
        <v>288</v>
      </c>
      <c r="K397" s="24" t="s">
        <v>288</v>
      </c>
      <c r="L397" s="56">
        <f t="shared" si="26"/>
        <v>770.6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164.51</v>
      </c>
      <c r="I400" s="18"/>
      <c r="J400" s="24" t="s">
        <v>288</v>
      </c>
      <c r="K400" s="24" t="s">
        <v>288</v>
      </c>
      <c r="L400" s="56">
        <f t="shared" si="26"/>
        <v>164.51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1675.78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1675.78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150000</v>
      </c>
      <c r="H408" s="47">
        <f>H393+H401+H407</f>
        <v>2015.73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152015.73000000001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>
        <v>224888.63</v>
      </c>
      <c r="L414" s="56">
        <f t="shared" si="27"/>
        <v>224888.63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224888.63</v>
      </c>
      <c r="L419" s="47">
        <f t="shared" si="28"/>
        <v>224888.63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224888.63</v>
      </c>
      <c r="L434" s="47">
        <f t="shared" si="32"/>
        <v>224888.63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322314.42</v>
      </c>
      <c r="G439" s="18">
        <v>402398.58</v>
      </c>
      <c r="H439" s="18"/>
      <c r="I439" s="56">
        <f t="shared" ref="I439:I445" si="33">SUM(F439:H439)</f>
        <v>724713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322314.42</v>
      </c>
      <c r="G446" s="13">
        <f>SUM(G439:G445)</f>
        <v>402398.58</v>
      </c>
      <c r="H446" s="13">
        <f>SUM(H439:H445)</f>
        <v>0</v>
      </c>
      <c r="I446" s="13">
        <f>SUM(I439:I445)</f>
        <v>724713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322314.42</v>
      </c>
      <c r="G459" s="18">
        <v>402398.58</v>
      </c>
      <c r="H459" s="18"/>
      <c r="I459" s="56">
        <f t="shared" si="34"/>
        <v>724713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322314.42</v>
      </c>
      <c r="G460" s="83">
        <f>SUM(G454:G459)</f>
        <v>402398.58</v>
      </c>
      <c r="H460" s="83">
        <f>SUM(H454:H459)</f>
        <v>0</v>
      </c>
      <c r="I460" s="83">
        <f>SUM(I454:I459)</f>
        <v>724713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322314.42</v>
      </c>
      <c r="G461" s="42">
        <f>G452+G460</f>
        <v>402398.58</v>
      </c>
      <c r="H461" s="42">
        <f>H452+H460</f>
        <v>0</v>
      </c>
      <c r="I461" s="42">
        <f>I452+I460</f>
        <v>724713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501268.93</v>
      </c>
      <c r="G465" s="18">
        <v>19798.060000000001</v>
      </c>
      <c r="H465" s="18">
        <v>16772.740000000002</v>
      </c>
      <c r="I465" s="18"/>
      <c r="J465" s="18">
        <v>797585.9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16990164.629999999</v>
      </c>
      <c r="G468" s="18">
        <v>346418.92</v>
      </c>
      <c r="H468" s="18">
        <v>531005.51</v>
      </c>
      <c r="I468" s="18"/>
      <c r="J468" s="18">
        <v>152015.73000000001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16990164.629999999</v>
      </c>
      <c r="G470" s="53">
        <f>SUM(G468:G469)</f>
        <v>346418.92</v>
      </c>
      <c r="H470" s="53">
        <f>SUM(H468:H469)</f>
        <v>531005.51</v>
      </c>
      <c r="I470" s="53">
        <f>SUM(I468:I469)</f>
        <v>0</v>
      </c>
      <c r="J470" s="53">
        <f>SUM(J468:J469)</f>
        <v>152015.73000000001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16455768.300000001</v>
      </c>
      <c r="G472" s="18">
        <v>341792.39</v>
      </c>
      <c r="H472" s="18">
        <v>519273.91</v>
      </c>
      <c r="I472" s="18">
        <v>246636.79999999999</v>
      </c>
      <c r="J472" s="18">
        <v>224888.63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16455768.300000001</v>
      </c>
      <c r="G474" s="53">
        <f>SUM(G472:G473)</f>
        <v>341792.39</v>
      </c>
      <c r="H474" s="53">
        <f>SUM(H472:H473)</f>
        <v>519273.91</v>
      </c>
      <c r="I474" s="53">
        <f>SUM(I472:I473)</f>
        <v>246636.79999999999</v>
      </c>
      <c r="J474" s="53">
        <f>SUM(J472:J473)</f>
        <v>224888.63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1035665.2599999979</v>
      </c>
      <c r="G476" s="53">
        <f>(G465+G470)- G474</f>
        <v>24424.589999999967</v>
      </c>
      <c r="H476" s="53">
        <f>(H465+H470)- H474</f>
        <v>28504.340000000026</v>
      </c>
      <c r="I476" s="53">
        <f>(I465+I470)- I474</f>
        <v>-246636.79999999999</v>
      </c>
      <c r="J476" s="53">
        <f>(J465+J470)- J474</f>
        <v>724713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29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35816700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3.3294999999999999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35816700</v>
      </c>
      <c r="G495" s="18"/>
      <c r="H495" s="18"/>
      <c r="I495" s="18"/>
      <c r="J495" s="18"/>
      <c r="K495" s="53">
        <f>SUM(F495:J495)</f>
        <v>35816700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35816700</v>
      </c>
      <c r="G498" s="204"/>
      <c r="H498" s="204"/>
      <c r="I498" s="204"/>
      <c r="J498" s="204"/>
      <c r="K498" s="205">
        <f t="shared" si="35"/>
        <v>35816700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35816700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35816700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878064</v>
      </c>
      <c r="G502" s="18"/>
      <c r="H502" s="18"/>
      <c r="I502" s="18"/>
      <c r="J502" s="18"/>
      <c r="K502" s="53">
        <f t="shared" si="35"/>
        <v>878064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878064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878064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1540959.98</v>
      </c>
      <c r="G521" s="18">
        <v>659811.44000000006</v>
      </c>
      <c r="H521" s="18">
        <v>721052.15</v>
      </c>
      <c r="I521" s="18">
        <v>10311.290000000001</v>
      </c>
      <c r="J521" s="18">
        <v>11449.98</v>
      </c>
      <c r="K521" s="18">
        <v>676.83</v>
      </c>
      <c r="L521" s="88">
        <f>SUM(F521:K521)</f>
        <v>2944261.67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580066.51</v>
      </c>
      <c r="G523" s="18">
        <v>228501.62</v>
      </c>
      <c r="H523" s="18">
        <v>275547.13999999996</v>
      </c>
      <c r="I523" s="18">
        <v>2544.96</v>
      </c>
      <c r="J523" s="18">
        <v>1314.8400000000001</v>
      </c>
      <c r="K523" s="18">
        <v>213.73</v>
      </c>
      <c r="L523" s="88">
        <f>SUM(F523:K523)</f>
        <v>1088188.8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2121026.4900000002</v>
      </c>
      <c r="G524" s="108">
        <f t="shared" ref="G524:L524" si="36">SUM(G521:G523)</f>
        <v>888313.06</v>
      </c>
      <c r="H524" s="108">
        <f t="shared" si="36"/>
        <v>996599.29</v>
      </c>
      <c r="I524" s="108">
        <f t="shared" si="36"/>
        <v>12856.25</v>
      </c>
      <c r="J524" s="108">
        <f t="shared" si="36"/>
        <v>12764.82</v>
      </c>
      <c r="K524" s="108">
        <f t="shared" si="36"/>
        <v>890.56000000000006</v>
      </c>
      <c r="L524" s="89">
        <f t="shared" si="36"/>
        <v>4032450.4699999997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472170.78</v>
      </c>
      <c r="G526" s="18">
        <v>248609.18</v>
      </c>
      <c r="H526" s="18">
        <v>928.45</v>
      </c>
      <c r="I526" s="18">
        <v>5440.09</v>
      </c>
      <c r="J526" s="18">
        <v>75.14</v>
      </c>
      <c r="K526" s="18"/>
      <c r="L526" s="88">
        <f>SUM(F526:K526)</f>
        <v>727223.6399999999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115430.89</v>
      </c>
      <c r="G528" s="18">
        <v>55048.91</v>
      </c>
      <c r="H528" s="18">
        <v>3057.91</v>
      </c>
      <c r="I528" s="18">
        <v>3319.28</v>
      </c>
      <c r="J528" s="18">
        <v>147.38999999999999</v>
      </c>
      <c r="K528" s="18">
        <v>952</v>
      </c>
      <c r="L528" s="88">
        <f>SUM(F528:K528)</f>
        <v>177956.38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587601.67000000004</v>
      </c>
      <c r="G529" s="89">
        <f t="shared" ref="G529:L529" si="37">SUM(G526:G528)</f>
        <v>303658.08999999997</v>
      </c>
      <c r="H529" s="89">
        <f t="shared" si="37"/>
        <v>3986.3599999999997</v>
      </c>
      <c r="I529" s="89">
        <f t="shared" si="37"/>
        <v>8759.3700000000008</v>
      </c>
      <c r="J529" s="89">
        <f t="shared" si="37"/>
        <v>222.52999999999997</v>
      </c>
      <c r="K529" s="89">
        <f t="shared" si="37"/>
        <v>952</v>
      </c>
      <c r="L529" s="89">
        <f t="shared" si="37"/>
        <v>905180.0199999999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107671.66</v>
      </c>
      <c r="G531" s="18">
        <v>53303.73</v>
      </c>
      <c r="H531" s="18">
        <v>2395.3000000000002</v>
      </c>
      <c r="I531" s="18">
        <v>882.06</v>
      </c>
      <c r="J531" s="18"/>
      <c r="K531" s="18">
        <v>1692.6</v>
      </c>
      <c r="L531" s="88">
        <f>SUM(F531:K531)</f>
        <v>165945.35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34001.58</v>
      </c>
      <c r="G533" s="18">
        <v>16832.759999999998</v>
      </c>
      <c r="H533" s="18">
        <v>756.41</v>
      </c>
      <c r="I533" s="18">
        <v>278.55</v>
      </c>
      <c r="J533" s="18"/>
      <c r="K533" s="18">
        <v>834.51</v>
      </c>
      <c r="L533" s="88">
        <f>SUM(F533:K533)</f>
        <v>52703.810000000005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141673.24</v>
      </c>
      <c r="G534" s="89">
        <f t="shared" ref="G534:L534" si="38">SUM(G531:G533)</f>
        <v>70136.490000000005</v>
      </c>
      <c r="H534" s="89">
        <f t="shared" si="38"/>
        <v>3151.71</v>
      </c>
      <c r="I534" s="89">
        <f t="shared" si="38"/>
        <v>1160.6099999999999</v>
      </c>
      <c r="J534" s="89">
        <f t="shared" si="38"/>
        <v>0</v>
      </c>
      <c r="K534" s="89">
        <f t="shared" si="38"/>
        <v>2527.1099999999997</v>
      </c>
      <c r="L534" s="89">
        <f t="shared" si="38"/>
        <v>218649.16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1516.5</v>
      </c>
      <c r="I536" s="18"/>
      <c r="J536" s="18"/>
      <c r="K536" s="18"/>
      <c r="L536" s="88">
        <f>SUM(F536:K536)</f>
        <v>1516.5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1516.5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1516.5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180408.05</v>
      </c>
      <c r="I541" s="18"/>
      <c r="J541" s="18"/>
      <c r="K541" s="18"/>
      <c r="L541" s="88">
        <f>SUM(F541:K541)</f>
        <v>180408.05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31422.89</v>
      </c>
      <c r="I543" s="18"/>
      <c r="J543" s="18"/>
      <c r="K543" s="18"/>
      <c r="L543" s="88">
        <f>SUM(F543:K543)</f>
        <v>31422.89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211830.94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211830.94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2850301.4000000004</v>
      </c>
      <c r="G545" s="89">
        <f t="shared" ref="G545:L545" si="41">G524+G529+G534+G539+G544</f>
        <v>1262107.6399999999</v>
      </c>
      <c r="H545" s="89">
        <f t="shared" si="41"/>
        <v>1217084.8</v>
      </c>
      <c r="I545" s="89">
        <f t="shared" si="41"/>
        <v>22776.230000000003</v>
      </c>
      <c r="J545" s="89">
        <f t="shared" si="41"/>
        <v>12987.35</v>
      </c>
      <c r="K545" s="89">
        <f t="shared" si="41"/>
        <v>4369.67</v>
      </c>
      <c r="L545" s="89">
        <f t="shared" si="41"/>
        <v>5369627.0899999999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2944261.67</v>
      </c>
      <c r="G549" s="87">
        <f>L526</f>
        <v>727223.6399999999</v>
      </c>
      <c r="H549" s="87">
        <f>L531</f>
        <v>165945.35</v>
      </c>
      <c r="I549" s="87">
        <f>L536</f>
        <v>1516.5</v>
      </c>
      <c r="J549" s="87">
        <f>L541</f>
        <v>180408.05</v>
      </c>
      <c r="K549" s="87">
        <f>SUM(F549:J549)</f>
        <v>4019355.2099999995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1088188.8</v>
      </c>
      <c r="G551" s="87">
        <f>L528</f>
        <v>177956.38</v>
      </c>
      <c r="H551" s="87">
        <f>L533</f>
        <v>52703.810000000005</v>
      </c>
      <c r="I551" s="87">
        <f>L538</f>
        <v>0</v>
      </c>
      <c r="J551" s="87">
        <f>L543</f>
        <v>31422.89</v>
      </c>
      <c r="K551" s="87">
        <f>SUM(F551:J551)</f>
        <v>1350271.8800000001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4032450.4699999997</v>
      </c>
      <c r="G552" s="89">
        <f t="shared" si="42"/>
        <v>905180.0199999999</v>
      </c>
      <c r="H552" s="89">
        <f t="shared" si="42"/>
        <v>218649.16</v>
      </c>
      <c r="I552" s="89">
        <f t="shared" si="42"/>
        <v>1516.5</v>
      </c>
      <c r="J552" s="89">
        <f t="shared" si="42"/>
        <v>211830.94</v>
      </c>
      <c r="K552" s="89">
        <f t="shared" si="42"/>
        <v>5369627.0899999999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357539.45</v>
      </c>
      <c r="G582" s="18"/>
      <c r="H582" s="18">
        <v>287690.08</v>
      </c>
      <c r="I582" s="87">
        <f t="shared" si="47"/>
        <v>645229.53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136728</v>
      </c>
      <c r="I584" s="87">
        <f t="shared" si="47"/>
        <v>136728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189342.6</v>
      </c>
      <c r="I591" s="18"/>
      <c r="J591" s="18">
        <v>59792.4</v>
      </c>
      <c r="K591" s="104">
        <f t="shared" ref="K591:K597" si="48">SUM(H591:J591)</f>
        <v>249135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180408.05</v>
      </c>
      <c r="I592" s="18"/>
      <c r="J592" s="18">
        <v>31422.89</v>
      </c>
      <c r="K592" s="104">
        <f t="shared" si="48"/>
        <v>211830.94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43706</v>
      </c>
      <c r="K593" s="104">
        <f t="shared" si="48"/>
        <v>43706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3252</v>
      </c>
      <c r="I594" s="18"/>
      <c r="J594" s="18">
        <v>25881.98</v>
      </c>
      <c r="K594" s="104">
        <f t="shared" si="48"/>
        <v>29133.98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12779.14</v>
      </c>
      <c r="I595" s="18"/>
      <c r="J595" s="18">
        <v>9546.99</v>
      </c>
      <c r="K595" s="104">
        <f t="shared" si="48"/>
        <v>22326.129999999997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471.55</v>
      </c>
      <c r="I597" s="18"/>
      <c r="J597" s="18">
        <v>1365.06</v>
      </c>
      <c r="K597" s="104">
        <f t="shared" si="48"/>
        <v>1836.61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386253.34</v>
      </c>
      <c r="I598" s="108">
        <f>SUM(I591:I597)</f>
        <v>0</v>
      </c>
      <c r="J598" s="108">
        <f>SUM(J591:J597)</f>
        <v>171715.32</v>
      </c>
      <c r="K598" s="108">
        <f>SUM(K591:K597)</f>
        <v>557968.66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188101.39</v>
      </c>
      <c r="I604" s="18"/>
      <c r="J604" s="18">
        <v>81434.17</v>
      </c>
      <c r="K604" s="104">
        <f>SUM(H604:J604)</f>
        <v>269535.56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188101.39</v>
      </c>
      <c r="I605" s="108">
        <f>SUM(I602:I604)</f>
        <v>0</v>
      </c>
      <c r="J605" s="108">
        <f>SUM(J602:J604)</f>
        <v>81434.17</v>
      </c>
      <c r="K605" s="108">
        <f>SUM(K602:K604)</f>
        <v>269535.56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33295.449999999997</v>
      </c>
      <c r="G611" s="18">
        <v>5914.95</v>
      </c>
      <c r="H611" s="18"/>
      <c r="I611" s="18"/>
      <c r="J611" s="18"/>
      <c r="K611" s="18"/>
      <c r="L611" s="88">
        <f>SUM(F611:K611)</f>
        <v>39210.399999999994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33295.449999999997</v>
      </c>
      <c r="G614" s="108">
        <f t="shared" si="49"/>
        <v>5914.95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39210.399999999994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1597619.9000000001</v>
      </c>
      <c r="H617" s="109">
        <f>SUM(F52)</f>
        <v>1597619.9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18457.030000000002</v>
      </c>
      <c r="H618" s="109">
        <f>SUM(G52)</f>
        <v>18457.03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127992.7</v>
      </c>
      <c r="H619" s="109">
        <f>SUM(H52)</f>
        <v>127992.7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724713</v>
      </c>
      <c r="H621" s="109">
        <f>SUM(J52)</f>
        <v>724713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1035665.26</v>
      </c>
      <c r="H622" s="109">
        <f>F476</f>
        <v>1035665.2599999979</v>
      </c>
      <c r="I622" s="121" t="s">
        <v>101</v>
      </c>
      <c r="J622" s="109">
        <f t="shared" ref="J622:J655" si="50">G622-H622</f>
        <v>2.0954757928848267E-9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24424.59</v>
      </c>
      <c r="H623" s="109">
        <f>G476</f>
        <v>24424.589999999967</v>
      </c>
      <c r="I623" s="121" t="s">
        <v>102</v>
      </c>
      <c r="J623" s="109">
        <f t="shared" si="50"/>
        <v>3.2741809263825417E-11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28504.34</v>
      </c>
      <c r="H624" s="109">
        <f>H476</f>
        <v>28504.340000000026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-246636.79999999999</v>
      </c>
      <c r="H625" s="109">
        <f>I476</f>
        <v>-246636.79999999999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724713</v>
      </c>
      <c r="H626" s="109">
        <f>J476</f>
        <v>724713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16990164.629999999</v>
      </c>
      <c r="H627" s="104">
        <f>SUM(F468)</f>
        <v>16990164.629999999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346418.92000000004</v>
      </c>
      <c r="H628" s="104">
        <f>SUM(G468)</f>
        <v>346418.92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531005.51</v>
      </c>
      <c r="H629" s="104">
        <f>SUM(H468)</f>
        <v>531005.51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152015.73000000001</v>
      </c>
      <c r="H631" s="104">
        <f>SUM(J468)</f>
        <v>152015.73000000001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16455768.300000001</v>
      </c>
      <c r="H632" s="104">
        <f>SUM(F472)</f>
        <v>16455768.300000001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519273.91</v>
      </c>
      <c r="H633" s="104">
        <f>SUM(H472)</f>
        <v>519273.91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149884.61000000002</v>
      </c>
      <c r="H634" s="104">
        <f>I369</f>
        <v>149884.61000000002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341792.39</v>
      </c>
      <c r="H635" s="104">
        <f>SUM(G472)</f>
        <v>341792.39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246636.79999999999</v>
      </c>
      <c r="H636" s="104">
        <f>SUM(I472)</f>
        <v>246636.79999999999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152015.73000000001</v>
      </c>
      <c r="H637" s="164">
        <f>SUM(J468)</f>
        <v>152015.73000000001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224888.63</v>
      </c>
      <c r="H638" s="164">
        <f>SUM(J472)</f>
        <v>224888.63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322314.42</v>
      </c>
      <c r="H639" s="104">
        <f>SUM(F461)</f>
        <v>322314.42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402398.58</v>
      </c>
      <c r="H640" s="104">
        <f>SUM(G461)</f>
        <v>402398.58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724713</v>
      </c>
      <c r="H642" s="104">
        <f>SUM(I461)</f>
        <v>724713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2015.73</v>
      </c>
      <c r="H644" s="104">
        <f>H408</f>
        <v>2015.73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150000</v>
      </c>
      <c r="H645" s="104">
        <f>G408</f>
        <v>150000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152015.73000000001</v>
      </c>
      <c r="H646" s="104">
        <f>L408</f>
        <v>152015.73000000001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557968.66</v>
      </c>
      <c r="H647" s="104">
        <f>L208+L226+L244</f>
        <v>557968.66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269535.56</v>
      </c>
      <c r="H648" s="104">
        <f>(J257+J338)-(J255+J336)</f>
        <v>269535.55999999994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386253.34</v>
      </c>
      <c r="H649" s="104">
        <f>H598</f>
        <v>386253.34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171715.32</v>
      </c>
      <c r="H651" s="104">
        <f>J598</f>
        <v>171715.32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45.88</v>
      </c>
      <c r="H652" s="104">
        <f>K263+K345</f>
        <v>45.88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150000</v>
      </c>
      <c r="H655" s="104">
        <f>K266+K347</f>
        <v>150000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12099408.09</v>
      </c>
      <c r="G660" s="19">
        <f>(L229+L309+L359)</f>
        <v>0</v>
      </c>
      <c r="H660" s="19">
        <f>(L247+L328+L360)</f>
        <v>4750939.26</v>
      </c>
      <c r="I660" s="19">
        <f>SUM(F660:H660)</f>
        <v>16850347.350000001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150591.35753048072</v>
      </c>
      <c r="G661" s="19">
        <f>(L359/IF(SUM(L358:L360)=0,1,SUM(L358:L360))*(SUM(G97:G110)))</f>
        <v>0</v>
      </c>
      <c r="H661" s="19">
        <f>(L360/IF(SUM(L358:L360)=0,1,SUM(L358:L360))*(SUM(G97:G110)))</f>
        <v>27604.892469519284</v>
      </c>
      <c r="I661" s="19">
        <f>SUM(F661:H661)</f>
        <v>178196.25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386753.34</v>
      </c>
      <c r="G662" s="19">
        <f>(L226+L306)-(J226+J306)</f>
        <v>0</v>
      </c>
      <c r="H662" s="19">
        <f>(L244+L325)-(J244+J325)</f>
        <v>171990.32</v>
      </c>
      <c r="I662" s="19">
        <f>SUM(F662:H662)</f>
        <v>558743.66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584851.24000000011</v>
      </c>
      <c r="G663" s="199">
        <f>SUM(G575:G587)+SUM(I602:I604)+L612</f>
        <v>0</v>
      </c>
      <c r="H663" s="199">
        <f>SUM(H575:H587)+SUM(J602:J604)+L613</f>
        <v>505852.25</v>
      </c>
      <c r="I663" s="19">
        <f>SUM(F663:H663)</f>
        <v>1090703.4900000002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10977212.15246952</v>
      </c>
      <c r="G664" s="19">
        <f>G660-SUM(G661:G663)</f>
        <v>0</v>
      </c>
      <c r="H664" s="19">
        <f>H660-SUM(H661:H663)</f>
        <v>4045491.7975304807</v>
      </c>
      <c r="I664" s="19">
        <f>I660-SUM(I661:I663)</f>
        <v>15022703.950000001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765.86</v>
      </c>
      <c r="G665" s="248"/>
      <c r="H665" s="248">
        <v>241.49</v>
      </c>
      <c r="I665" s="19">
        <f>SUM(F665:H665)</f>
        <v>1007.35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14333.18</v>
      </c>
      <c r="G667" s="19" t="e">
        <f>ROUND(G664/G665,2)</f>
        <v>#DIV/0!</v>
      </c>
      <c r="H667" s="19">
        <f>ROUND(H664/H665,2)</f>
        <v>16752.21</v>
      </c>
      <c r="I667" s="19">
        <f>ROUND(I664/I665,2)</f>
        <v>14913.09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-22.67</v>
      </c>
      <c r="I670" s="19">
        <f>SUM(F670:H670)</f>
        <v>-22.67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14333.18</v>
      </c>
      <c r="G672" s="19" t="e">
        <f>ROUND((G664+G669)/(G665+G670),2)</f>
        <v>#DIV/0!</v>
      </c>
      <c r="H672" s="19">
        <f>ROUND((H664+H669)/(H665+H670),2)</f>
        <v>18487.759999999998</v>
      </c>
      <c r="I672" s="19">
        <f>ROUND((I664+I669)/(I665+I670),2)</f>
        <v>15256.43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9"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Newmarket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4042985.29</v>
      </c>
      <c r="C9" s="229">
        <f>'DOE25'!G197+'DOE25'!G215+'DOE25'!G233+'DOE25'!G276+'DOE25'!G295+'DOE25'!G314</f>
        <v>2031940.3400000003</v>
      </c>
    </row>
    <row r="10" spans="1:3" x14ac:dyDescent="0.2">
      <c r="A10" t="s">
        <v>778</v>
      </c>
      <c r="B10" s="240">
        <v>3875480.36</v>
      </c>
      <c r="C10" s="240">
        <v>1961818.33</v>
      </c>
    </row>
    <row r="11" spans="1:3" x14ac:dyDescent="0.2">
      <c r="A11" t="s">
        <v>779</v>
      </c>
      <c r="B11" s="240">
        <v>118372.43</v>
      </c>
      <c r="C11" s="240">
        <v>66363.37</v>
      </c>
    </row>
    <row r="12" spans="1:3" x14ac:dyDescent="0.2">
      <c r="A12" t="s">
        <v>780</v>
      </c>
      <c r="B12" s="240">
        <v>49132.5</v>
      </c>
      <c r="C12" s="240">
        <v>3758.64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4042985.29</v>
      </c>
      <c r="C13" s="231">
        <f>SUM(C10:C12)</f>
        <v>2031940.34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2121026.4900000002</v>
      </c>
      <c r="C18" s="229">
        <f>'DOE25'!G198+'DOE25'!G216+'DOE25'!G234+'DOE25'!G277+'DOE25'!G296+'DOE25'!G315</f>
        <v>888313.06000000017</v>
      </c>
    </row>
    <row r="19" spans="1:3" x14ac:dyDescent="0.2">
      <c r="A19" t="s">
        <v>778</v>
      </c>
      <c r="B19" s="240">
        <v>1224735.51</v>
      </c>
      <c r="C19" s="240">
        <v>537341.53</v>
      </c>
    </row>
    <row r="20" spans="1:3" x14ac:dyDescent="0.2">
      <c r="A20" t="s">
        <v>779</v>
      </c>
      <c r="B20" s="240">
        <v>896290.98</v>
      </c>
      <c r="C20" s="240">
        <v>350971.53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2121026.4900000002</v>
      </c>
      <c r="C22" s="231">
        <f>SUM(C19:C21)</f>
        <v>888313.06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371833.58999999997</v>
      </c>
      <c r="C36" s="235">
        <f>'DOE25'!G200+'DOE25'!G218+'DOE25'!G236+'DOE25'!G279+'DOE25'!G298+'DOE25'!G317</f>
        <v>118298.86000000003</v>
      </c>
    </row>
    <row r="37" spans="1:3" x14ac:dyDescent="0.2">
      <c r="A37" t="s">
        <v>778</v>
      </c>
      <c r="B37" s="240">
        <v>179110.77</v>
      </c>
      <c r="C37" s="240">
        <v>62133.05</v>
      </c>
    </row>
    <row r="38" spans="1:3" x14ac:dyDescent="0.2">
      <c r="A38" t="s">
        <v>779</v>
      </c>
      <c r="B38" s="240">
        <v>172229</v>
      </c>
      <c r="C38" s="240">
        <v>51929.5</v>
      </c>
    </row>
    <row r="39" spans="1:3" x14ac:dyDescent="0.2">
      <c r="A39" t="s">
        <v>780</v>
      </c>
      <c r="B39" s="240">
        <v>20493.82</v>
      </c>
      <c r="C39" s="240">
        <v>4236.3100000000004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371833.59</v>
      </c>
      <c r="C40" s="231">
        <f>SUM(C37:C39)</f>
        <v>118298.86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K41" sqref="K4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Newmarket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10573687.49</v>
      </c>
      <c r="D5" s="20">
        <f>SUM('DOE25'!L197:L200)+SUM('DOE25'!L215:L218)+SUM('DOE25'!L233:L236)-F5-G5</f>
        <v>10485410.99</v>
      </c>
      <c r="E5" s="243"/>
      <c r="F5" s="255">
        <f>SUM('DOE25'!J197:J200)+SUM('DOE25'!J215:J218)+SUM('DOE25'!J233:J236)</f>
        <v>65261.599999999999</v>
      </c>
      <c r="G5" s="53">
        <f>SUM('DOE25'!K197:K200)+SUM('DOE25'!K215:K218)+SUM('DOE25'!K233:K236)</f>
        <v>23014.899999999998</v>
      </c>
      <c r="H5" s="259"/>
    </row>
    <row r="6" spans="1:9" x14ac:dyDescent="0.2">
      <c r="A6" s="32">
        <v>2100</v>
      </c>
      <c r="B6" t="s">
        <v>800</v>
      </c>
      <c r="C6" s="245">
        <f t="shared" si="0"/>
        <v>1147476.47</v>
      </c>
      <c r="D6" s="20">
        <f>'DOE25'!L202+'DOE25'!L220+'DOE25'!L238-F6-G6</f>
        <v>1146067.47</v>
      </c>
      <c r="E6" s="243"/>
      <c r="F6" s="255">
        <f>'DOE25'!J202+'DOE25'!J220+'DOE25'!J238</f>
        <v>289</v>
      </c>
      <c r="G6" s="53">
        <f>'DOE25'!K202+'DOE25'!K220+'DOE25'!K238</f>
        <v>1120</v>
      </c>
      <c r="H6" s="259"/>
    </row>
    <row r="7" spans="1:9" x14ac:dyDescent="0.2">
      <c r="A7" s="32">
        <v>2200</v>
      </c>
      <c r="B7" t="s">
        <v>833</v>
      </c>
      <c r="C7" s="245">
        <f t="shared" si="0"/>
        <v>939877.28</v>
      </c>
      <c r="D7" s="20">
        <f>'DOE25'!L203+'DOE25'!L221+'DOE25'!L239-F7-G7</f>
        <v>793104.46000000008</v>
      </c>
      <c r="E7" s="243"/>
      <c r="F7" s="255">
        <f>'DOE25'!J203+'DOE25'!J221+'DOE25'!J239</f>
        <v>145022.47</v>
      </c>
      <c r="G7" s="53">
        <f>'DOE25'!K203+'DOE25'!K221+'DOE25'!K239</f>
        <v>1750.35</v>
      </c>
      <c r="H7" s="259"/>
    </row>
    <row r="8" spans="1:9" x14ac:dyDescent="0.2">
      <c r="A8" s="32">
        <v>2300</v>
      </c>
      <c r="B8" t="s">
        <v>801</v>
      </c>
      <c r="C8" s="245">
        <f t="shared" si="0"/>
        <v>670670.53</v>
      </c>
      <c r="D8" s="243"/>
      <c r="E8" s="20">
        <f>'DOE25'!L204+'DOE25'!L222+'DOE25'!L240-F8-G8-D9-D11</f>
        <v>621605.97000000009</v>
      </c>
      <c r="F8" s="255">
        <f>'DOE25'!J204+'DOE25'!J222+'DOE25'!J240</f>
        <v>0</v>
      </c>
      <c r="G8" s="53">
        <f>'DOE25'!K204+'DOE25'!K222+'DOE25'!K240</f>
        <v>49064.55999999999</v>
      </c>
      <c r="H8" s="259"/>
    </row>
    <row r="9" spans="1:9" x14ac:dyDescent="0.2">
      <c r="A9" s="32">
        <v>2310</v>
      </c>
      <c r="B9" t="s">
        <v>817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836404.29999999993</v>
      </c>
      <c r="D12" s="20">
        <f>'DOE25'!L205+'DOE25'!L223+'DOE25'!L241-F12-G12</f>
        <v>820017.7699999999</v>
      </c>
      <c r="E12" s="243"/>
      <c r="F12" s="255">
        <f>'DOE25'!J205+'DOE25'!J223+'DOE25'!J241</f>
        <v>8172.02</v>
      </c>
      <c r="G12" s="53">
        <f>'DOE25'!K205+'DOE25'!K223+'DOE25'!K241</f>
        <v>8214.51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224106.33000000002</v>
      </c>
      <c r="D13" s="243"/>
      <c r="E13" s="20">
        <f>'DOE25'!L206+'DOE25'!L224+'DOE25'!L242-F13-G13</f>
        <v>221573.79</v>
      </c>
      <c r="F13" s="255">
        <f>'DOE25'!J206+'DOE25'!J224+'DOE25'!J242</f>
        <v>0</v>
      </c>
      <c r="G13" s="53">
        <f>'DOE25'!K206+'DOE25'!K224+'DOE25'!K242</f>
        <v>2532.54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975747.83000000007</v>
      </c>
      <c r="D14" s="20">
        <f>'DOE25'!L207+'DOE25'!L225+'DOE25'!L243-F14-G14</f>
        <v>944280.4800000001</v>
      </c>
      <c r="E14" s="243"/>
      <c r="F14" s="255">
        <f>'DOE25'!J207+'DOE25'!J225+'DOE25'!J243</f>
        <v>31467.35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557968.66</v>
      </c>
      <c r="D15" s="20">
        <f>'DOE25'!L208+'DOE25'!L226+'DOE25'!L244-F15-G15</f>
        <v>557968.66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63342.159999999996</v>
      </c>
      <c r="D16" s="243"/>
      <c r="E16" s="20">
        <f>'DOE25'!L209+'DOE25'!L227+'DOE25'!L245-F16-G16</f>
        <v>63342.159999999996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316441.37</v>
      </c>
      <c r="D22" s="243"/>
      <c r="E22" s="243"/>
      <c r="F22" s="255">
        <f>'DOE25'!L255+'DOE25'!L336</f>
        <v>316441.37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197198.6</v>
      </c>
      <c r="D29" s="20">
        <f>'DOE25'!L358+'DOE25'!L359+'DOE25'!L360-'DOE25'!I367-F29-G29</f>
        <v>196493.6</v>
      </c>
      <c r="E29" s="243"/>
      <c r="F29" s="255">
        <f>'DOE25'!J358+'DOE25'!J359+'DOE25'!J360</f>
        <v>0</v>
      </c>
      <c r="G29" s="53">
        <f>'DOE25'!K358+'DOE25'!K359+'DOE25'!K360</f>
        <v>705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519273.91</v>
      </c>
      <c r="D31" s="20">
        <f>'DOE25'!L290+'DOE25'!L309+'DOE25'!L328+'DOE25'!L333+'DOE25'!L334+'DOE25'!L335-F31-G31</f>
        <v>499560.23</v>
      </c>
      <c r="E31" s="243"/>
      <c r="F31" s="255">
        <f>'DOE25'!J290+'DOE25'!J309+'DOE25'!J328+'DOE25'!J333+'DOE25'!J334+'DOE25'!J335</f>
        <v>19323.12</v>
      </c>
      <c r="G31" s="53">
        <f>'DOE25'!K290+'DOE25'!K309+'DOE25'!K328+'DOE25'!K333+'DOE25'!K334+'DOE25'!K335</f>
        <v>390.56000000000006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15442903.660000002</v>
      </c>
      <c r="E33" s="246">
        <f>SUM(E5:E31)</f>
        <v>906521.92000000016</v>
      </c>
      <c r="F33" s="246">
        <f>SUM(F5:F31)</f>
        <v>585976.93000000005</v>
      </c>
      <c r="G33" s="246">
        <f>SUM(G5:G31)</f>
        <v>86792.419999999969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906521.92000000016</v>
      </c>
      <c r="E35" s="249"/>
    </row>
    <row r="36" spans="2:8" ht="12" thickTop="1" x14ac:dyDescent="0.2">
      <c r="B36" t="s">
        <v>814</v>
      </c>
      <c r="D36" s="20">
        <f>D33</f>
        <v>15442903.660000002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N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6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Newmarket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1307261.02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724713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28504.34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246636.79999999999</v>
      </c>
      <c r="D12" s="95">
        <f>'DOE25'!G13</f>
        <v>13145.95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43722.080000000002</v>
      </c>
      <c r="D13" s="95">
        <f>'DOE25'!G14</f>
        <v>0</v>
      </c>
      <c r="E13" s="95">
        <f>'DOE25'!H14</f>
        <v>99488.36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11462.63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-6151.55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1597619.9000000001</v>
      </c>
      <c r="D18" s="41">
        <f>SUM(D8:D17)</f>
        <v>18457.030000000002</v>
      </c>
      <c r="E18" s="41">
        <f>SUM(E8:E17)</f>
        <v>127992.7</v>
      </c>
      <c r="F18" s="41">
        <f>SUM(F8:F17)</f>
        <v>0</v>
      </c>
      <c r="G18" s="41">
        <f>SUM(G8:G17)</f>
        <v>724713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65016.46</v>
      </c>
      <c r="D21" s="95">
        <f>'DOE25'!G22</f>
        <v>-5967.56</v>
      </c>
      <c r="E21" s="95">
        <f>'DOE25'!H22</f>
        <v>99488.36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246636.79999999999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496938.18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561954.64</v>
      </c>
      <c r="D31" s="41">
        <f>SUM(D21:D30)</f>
        <v>-5967.56</v>
      </c>
      <c r="E31" s="41">
        <f>SUM(E21:E30)</f>
        <v>99488.36</v>
      </c>
      <c r="F31" s="41">
        <f>SUM(F21:F30)</f>
        <v>246636.79999999999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24424.59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28504.34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331097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-246636.79999999999</v>
      </c>
      <c r="G47" s="95">
        <f>'DOE25'!J48</f>
        <v>724713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103988.04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600580.22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1035665.26</v>
      </c>
      <c r="D50" s="41">
        <f>SUM(D34:D49)</f>
        <v>24424.59</v>
      </c>
      <c r="E50" s="41">
        <f>SUM(E34:E49)</f>
        <v>28504.34</v>
      </c>
      <c r="F50" s="41">
        <f>SUM(F34:F49)</f>
        <v>-246636.79999999999</v>
      </c>
      <c r="G50" s="41">
        <f>SUM(G34:G49)</f>
        <v>724713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1597619.9</v>
      </c>
      <c r="D51" s="41">
        <f>D50+D31</f>
        <v>18457.03</v>
      </c>
      <c r="E51" s="41">
        <f>E50+E31</f>
        <v>127992.7</v>
      </c>
      <c r="F51" s="41">
        <f>F50+F31</f>
        <v>0</v>
      </c>
      <c r="G51" s="41">
        <f>G50+G31</f>
        <v>724713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11500033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42505.16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1852.45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2015.73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175192.6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31447.439999999999</v>
      </c>
      <c r="D61" s="95">
        <f>SUM('DOE25'!G98:G110)</f>
        <v>3003.65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75805.05</v>
      </c>
      <c r="D62" s="130">
        <f>SUM(D57:D61)</f>
        <v>178196.25</v>
      </c>
      <c r="E62" s="130">
        <f>SUM(E57:E61)</f>
        <v>0</v>
      </c>
      <c r="F62" s="130">
        <f>SUM(F57:F61)</f>
        <v>0</v>
      </c>
      <c r="G62" s="130">
        <f>SUM(G57:G61)</f>
        <v>2015.73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11575838.050000001</v>
      </c>
      <c r="D63" s="22">
        <f>D56+D62</f>
        <v>178196.25</v>
      </c>
      <c r="E63" s="22">
        <f>E56+E62</f>
        <v>0</v>
      </c>
      <c r="F63" s="22">
        <f>F56+F62</f>
        <v>0</v>
      </c>
      <c r="G63" s="22">
        <f>G56+G62</f>
        <v>2015.73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2469470.2200000002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1743845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9291.92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4222607.1400000006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540931.79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128682.64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17155.2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5032.42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686769.63</v>
      </c>
      <c r="D78" s="130">
        <f>SUM(D72:D77)</f>
        <v>5032.42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4909376.7700000005</v>
      </c>
      <c r="D81" s="130">
        <f>SUM(D79:D80)+D78+D70</f>
        <v>5032.42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23187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280061.18</v>
      </c>
      <c r="D88" s="95">
        <f>SUM('DOE25'!G153:G161)</f>
        <v>139957.37</v>
      </c>
      <c r="E88" s="95">
        <f>SUM('DOE25'!H153:H161)</f>
        <v>497534.54000000004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33470.97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280061.18</v>
      </c>
      <c r="D91" s="131">
        <f>SUM(D85:D90)</f>
        <v>163144.37</v>
      </c>
      <c r="E91" s="131">
        <f>SUM(E85:E90)</f>
        <v>531005.51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45.88</v>
      </c>
      <c r="E96" s="95">
        <f>'DOE25'!H179</f>
        <v>0</v>
      </c>
      <c r="F96" s="95">
        <f>'DOE25'!I179</f>
        <v>0</v>
      </c>
      <c r="G96" s="95">
        <f>'DOE25'!J179</f>
        <v>150000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224888.63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224888.63</v>
      </c>
      <c r="D103" s="86">
        <f>SUM(D93:D102)</f>
        <v>45.88</v>
      </c>
      <c r="E103" s="86">
        <f>SUM(E93:E102)</f>
        <v>0</v>
      </c>
      <c r="F103" s="86">
        <f>SUM(F93:F102)</f>
        <v>0</v>
      </c>
      <c r="G103" s="86">
        <f>SUM(G93:G102)</f>
        <v>150000</v>
      </c>
    </row>
    <row r="104" spans="1:7" ht="12.75" thickTop="1" thickBot="1" x14ac:dyDescent="0.25">
      <c r="A104" s="33" t="s">
        <v>764</v>
      </c>
      <c r="C104" s="86">
        <f>C63+C81+C91+C103</f>
        <v>16990164.629999999</v>
      </c>
      <c r="D104" s="86">
        <f>D63+D81+D91+D103</f>
        <v>346418.92000000004</v>
      </c>
      <c r="E104" s="86">
        <f>E63+E81+E91+E103</f>
        <v>531005.51</v>
      </c>
      <c r="F104" s="86">
        <f>F63+F81+F91+F103</f>
        <v>0</v>
      </c>
      <c r="G104" s="86">
        <f>G63+G81+G103</f>
        <v>152015.73000000001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6137843.5600000005</v>
      </c>
      <c r="D109" s="24" t="s">
        <v>288</v>
      </c>
      <c r="E109" s="95">
        <f>('DOE25'!L276)+('DOE25'!L295)+('DOE25'!L314)</f>
        <v>151396.87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3752246.19</v>
      </c>
      <c r="D110" s="24" t="s">
        <v>288</v>
      </c>
      <c r="E110" s="95">
        <f>('DOE25'!L277)+('DOE25'!L296)+('DOE25'!L315)</f>
        <v>280204.28000000003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137669.75</v>
      </c>
      <c r="D111" s="24" t="s">
        <v>288</v>
      </c>
      <c r="E111" s="95">
        <f>('DOE25'!L278)+('DOE25'!L297)+('DOE25'!L316)</f>
        <v>175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545927.99</v>
      </c>
      <c r="D112" s="24" t="s">
        <v>288</v>
      </c>
      <c r="E112" s="95">
        <f>+('DOE25'!L279)+('DOE25'!L298)+('DOE25'!L317)</f>
        <v>758.81999999999994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10573687.49</v>
      </c>
      <c r="D115" s="86">
        <f>SUM(D109:D114)</f>
        <v>0</v>
      </c>
      <c r="E115" s="86">
        <f>SUM(E109:E114)</f>
        <v>432534.97000000003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1147476.47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939877.28</v>
      </c>
      <c r="D119" s="24" t="s">
        <v>288</v>
      </c>
      <c r="E119" s="95">
        <f>+('DOE25'!L282)+('DOE25'!L301)+('DOE25'!L320)</f>
        <v>85482.42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670670.53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836404.29999999993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224106.33000000002</v>
      </c>
      <c r="D122" s="24" t="s">
        <v>288</v>
      </c>
      <c r="E122" s="95">
        <f>+('DOE25'!L285)+('DOE25'!L304)+('DOE25'!L323)</f>
        <v>481.52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975747.83000000007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557968.66</v>
      </c>
      <c r="D124" s="24" t="s">
        <v>288</v>
      </c>
      <c r="E124" s="95">
        <f>+('DOE25'!L287)+('DOE25'!L306)+('DOE25'!L325)</f>
        <v>775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63342.159999999996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341792.39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5415593.5600000005</v>
      </c>
      <c r="D128" s="86">
        <f>SUM(D118:D127)</f>
        <v>341792.39</v>
      </c>
      <c r="E128" s="86">
        <f>SUM(E118:E127)</f>
        <v>86738.94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316441.37</v>
      </c>
      <c r="D130" s="24" t="s">
        <v>288</v>
      </c>
      <c r="E130" s="129">
        <f>'DOE25'!L336</f>
        <v>0</v>
      </c>
      <c r="F130" s="129">
        <f>SUM('DOE25'!L374:'DOE25'!L380)</f>
        <v>246636.79999999999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224888.63</v>
      </c>
    </row>
    <row r="135" spans="1:7" x14ac:dyDescent="0.2">
      <c r="A135" t="s">
        <v>233</v>
      </c>
      <c r="B135" s="32" t="s">
        <v>234</v>
      </c>
      <c r="C135" s="95">
        <f>'DOE25'!L263</f>
        <v>45.88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150339.95000000001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1675.78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-2015.7300000000105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466487.25</v>
      </c>
      <c r="D144" s="141">
        <f>SUM(D130:D143)</f>
        <v>0</v>
      </c>
      <c r="E144" s="141">
        <f>SUM(E130:E143)</f>
        <v>0</v>
      </c>
      <c r="F144" s="141">
        <f>SUM(F130:F143)</f>
        <v>246636.79999999999</v>
      </c>
      <c r="G144" s="141">
        <f>SUM(G130:G143)</f>
        <v>224888.63</v>
      </c>
    </row>
    <row r="145" spans="1:9" ht="12.75" thickTop="1" thickBot="1" x14ac:dyDescent="0.25">
      <c r="A145" s="33" t="s">
        <v>244</v>
      </c>
      <c r="C145" s="86">
        <f>(C115+C128+C144)</f>
        <v>16455768.300000001</v>
      </c>
      <c r="D145" s="86">
        <f>(D115+D128+D144)</f>
        <v>341792.39</v>
      </c>
      <c r="E145" s="86">
        <f>(E115+E128+E144)</f>
        <v>519273.91000000003</v>
      </c>
      <c r="F145" s="86">
        <f>(F115+F128+F144)</f>
        <v>246636.79999999999</v>
      </c>
      <c r="G145" s="86">
        <f>(G115+G128+G144)</f>
        <v>224888.63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29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06/27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08/46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35816700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3.3294999999999999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35816700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35816700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35816700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35816700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35816700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35816700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878064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878064</v>
      </c>
    </row>
    <row r="164" spans="1:7" x14ac:dyDescent="0.2">
      <c r="A164" s="22" t="s">
        <v>246</v>
      </c>
      <c r="B164" s="137">
        <f>'DOE25'!F503</f>
        <v>878064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878064</v>
      </c>
    </row>
  </sheetData>
  <sheetProtection password="AB0A" sheet="1" objects="1" scenarios="1"/>
  <dataConsolidate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Newmarket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14333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18488</v>
      </c>
    </row>
    <row r="7" spans="1:4" x14ac:dyDescent="0.2">
      <c r="B7" t="s">
        <v>704</v>
      </c>
      <c r="C7" s="179">
        <f>IF('DOE25'!I665+'DOE25'!I670=0,0,ROUND('DOE25'!I672,0))</f>
        <v>15256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6289240</v>
      </c>
      <c r="D10" s="182">
        <f>ROUND((C10/$C$28)*100,1)</f>
        <v>37.700000000000003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4032450</v>
      </c>
      <c r="D11" s="182">
        <f>ROUND((C11/$C$28)*100,1)</f>
        <v>24.2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137845</v>
      </c>
      <c r="D12" s="182">
        <f>ROUND((C12/$C$28)*100,1)</f>
        <v>0.8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546687</v>
      </c>
      <c r="D13" s="182">
        <f>ROUND((C13/$C$28)*100,1)</f>
        <v>3.3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1147476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1025360</v>
      </c>
      <c r="D16" s="182">
        <f t="shared" si="0"/>
        <v>6.2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734013</v>
      </c>
      <c r="D17" s="182">
        <f t="shared" si="0"/>
        <v>4.4000000000000004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836404</v>
      </c>
      <c r="D18" s="182">
        <f t="shared" si="0"/>
        <v>5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224588</v>
      </c>
      <c r="D19" s="182">
        <f t="shared" si="0"/>
        <v>1.3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975748</v>
      </c>
      <c r="D20" s="182">
        <f t="shared" si="0"/>
        <v>5.9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558744</v>
      </c>
      <c r="D21" s="182">
        <f t="shared" si="0"/>
        <v>3.4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163595.75</v>
      </c>
      <c r="D27" s="182">
        <f t="shared" si="0"/>
        <v>1</v>
      </c>
    </row>
    <row r="28" spans="1:4" x14ac:dyDescent="0.2">
      <c r="B28" s="187" t="s">
        <v>722</v>
      </c>
      <c r="C28" s="180">
        <f>SUM(C10:C27)</f>
        <v>16672150.75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563078</v>
      </c>
    </row>
    <row r="30" spans="1:4" x14ac:dyDescent="0.2">
      <c r="B30" s="187" t="s">
        <v>728</v>
      </c>
      <c r="C30" s="180">
        <f>SUM(C28:C29)</f>
        <v>17235228.75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11500033</v>
      </c>
      <c r="D35" s="182">
        <f t="shared" ref="D35:D40" si="1">ROUND((C35/$C$41)*100,1)</f>
        <v>65.8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77820.780000001192</v>
      </c>
      <c r="D36" s="182">
        <f t="shared" si="1"/>
        <v>0.4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4213315</v>
      </c>
      <c r="D37" s="182">
        <f t="shared" si="1"/>
        <v>24.1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701094</v>
      </c>
      <c r="D38" s="182">
        <f t="shared" si="1"/>
        <v>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974211</v>
      </c>
      <c r="D39" s="182">
        <f t="shared" si="1"/>
        <v>5.6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17466473.780000001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32" sqref="C32:M3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Newmarket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 t="s">
        <v>915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2017-06-15T14:49:11Z</cp:lastPrinted>
  <dcterms:created xsi:type="dcterms:W3CDTF">1997-12-04T19:04:30Z</dcterms:created>
  <dcterms:modified xsi:type="dcterms:W3CDTF">2017-11-29T17:57:05Z</dcterms:modified>
</cp:coreProperties>
</file>