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8" i="1" l="1"/>
  <c r="H1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E120" i="2" s="1"/>
  <c r="L284" i="1"/>
  <c r="L285" i="1"/>
  <c r="E122" i="2" s="1"/>
  <c r="L286" i="1"/>
  <c r="L287" i="1"/>
  <c r="L288" i="1"/>
  <c r="E125" i="2" s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H476" i="1" s="1"/>
  <c r="H624" i="1" s="1"/>
  <c r="I470" i="1"/>
  <c r="I476" i="1" s="1"/>
  <c r="H625" i="1" s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G640" i="1"/>
  <c r="H640" i="1"/>
  <c r="G641" i="1"/>
  <c r="J641" i="1" s="1"/>
  <c r="G643" i="1"/>
  <c r="J643" i="1" s="1"/>
  <c r="H643" i="1"/>
  <c r="G644" i="1"/>
  <c r="G645" i="1"/>
  <c r="H645" i="1"/>
  <c r="J645" i="1" s="1"/>
  <c r="G652" i="1"/>
  <c r="H652" i="1"/>
  <c r="G653" i="1"/>
  <c r="H653" i="1"/>
  <c r="G654" i="1"/>
  <c r="H654" i="1"/>
  <c r="H655" i="1"/>
  <c r="F192" i="1"/>
  <c r="G62" i="2"/>
  <c r="E78" i="2"/>
  <c r="K605" i="1"/>
  <c r="G648" i="1" s="1"/>
  <c r="I169" i="1"/>
  <c r="J140" i="1"/>
  <c r="G22" i="2"/>
  <c r="H140" i="1"/>
  <c r="F22" i="13"/>
  <c r="C22" i="13" s="1"/>
  <c r="J640" i="1"/>
  <c r="L570" i="1"/>
  <c r="G36" i="2"/>
  <c r="J112" i="1" l="1"/>
  <c r="J193" i="1" s="1"/>
  <c r="G646" i="1" s="1"/>
  <c r="F476" i="1"/>
  <c r="H622" i="1" s="1"/>
  <c r="J622" i="1" s="1"/>
  <c r="J624" i="1"/>
  <c r="A31" i="12"/>
  <c r="I552" i="1"/>
  <c r="G661" i="1"/>
  <c r="L362" i="1"/>
  <c r="H661" i="1"/>
  <c r="D63" i="2"/>
  <c r="G112" i="1"/>
  <c r="J623" i="1"/>
  <c r="J644" i="1"/>
  <c r="J651" i="1"/>
  <c r="K598" i="1"/>
  <c r="G647" i="1" s="1"/>
  <c r="L565" i="1"/>
  <c r="L571" i="1" s="1"/>
  <c r="H571" i="1"/>
  <c r="H545" i="1"/>
  <c r="J552" i="1"/>
  <c r="K545" i="1"/>
  <c r="I545" i="1"/>
  <c r="K550" i="1"/>
  <c r="G545" i="1"/>
  <c r="L534" i="1"/>
  <c r="H552" i="1"/>
  <c r="G552" i="1"/>
  <c r="K549" i="1"/>
  <c r="F552" i="1"/>
  <c r="I460" i="1"/>
  <c r="I461" i="1" s="1"/>
  <c r="H642" i="1" s="1"/>
  <c r="J634" i="1"/>
  <c r="D29" i="13"/>
  <c r="C29" i="13" s="1"/>
  <c r="D127" i="2"/>
  <c r="D128" i="2" s="1"/>
  <c r="D145" i="2" s="1"/>
  <c r="E121" i="2"/>
  <c r="E119" i="2"/>
  <c r="L309" i="1"/>
  <c r="H338" i="1"/>
  <c r="H352" i="1" s="1"/>
  <c r="G164" i="2"/>
  <c r="G156" i="2"/>
  <c r="G157" i="2"/>
  <c r="D17" i="13"/>
  <c r="C17" i="13" s="1"/>
  <c r="E16" i="13"/>
  <c r="D91" i="2"/>
  <c r="D81" i="2"/>
  <c r="F18" i="2"/>
  <c r="D50" i="2"/>
  <c r="D51" i="2" s="1"/>
  <c r="G161" i="2"/>
  <c r="G81" i="2"/>
  <c r="F78" i="2"/>
  <c r="F81" i="2" s="1"/>
  <c r="F104" i="2" s="1"/>
  <c r="C70" i="2"/>
  <c r="C81" i="2" s="1"/>
  <c r="D31" i="2"/>
  <c r="H662" i="1"/>
  <c r="C19" i="10"/>
  <c r="C11" i="10"/>
  <c r="C109" i="2"/>
  <c r="G257" i="1"/>
  <c r="G271" i="1" s="1"/>
  <c r="E8" i="13"/>
  <c r="C8" i="13" s="1"/>
  <c r="C17" i="10"/>
  <c r="D18" i="2"/>
  <c r="E31" i="2"/>
  <c r="L401" i="1"/>
  <c r="C139" i="2" s="1"/>
  <c r="I446" i="1"/>
  <c r="G642" i="1" s="1"/>
  <c r="J642" i="1" s="1"/>
  <c r="J639" i="1"/>
  <c r="L427" i="1"/>
  <c r="L434" i="1" s="1"/>
  <c r="G638" i="1" s="1"/>
  <c r="J638" i="1" s="1"/>
  <c r="L393" i="1"/>
  <c r="C138" i="2" s="1"/>
  <c r="E118" i="2"/>
  <c r="F338" i="1"/>
  <c r="F352" i="1" s="1"/>
  <c r="L328" i="1"/>
  <c r="J655" i="1"/>
  <c r="L270" i="1"/>
  <c r="C32" i="10"/>
  <c r="C18" i="10"/>
  <c r="F257" i="1"/>
  <c r="F271" i="1" s="1"/>
  <c r="A40" i="12"/>
  <c r="L247" i="1"/>
  <c r="J257" i="1"/>
  <c r="J271" i="1" s="1"/>
  <c r="I257" i="1"/>
  <c r="I271" i="1" s="1"/>
  <c r="H257" i="1"/>
  <c r="H271" i="1" s="1"/>
  <c r="D12" i="13"/>
  <c r="C12" i="13" s="1"/>
  <c r="C119" i="2"/>
  <c r="C21" i="10"/>
  <c r="G650" i="1"/>
  <c r="J650" i="1" s="1"/>
  <c r="C121" i="2"/>
  <c r="C15" i="10"/>
  <c r="C112" i="2"/>
  <c r="C12" i="10"/>
  <c r="L229" i="1"/>
  <c r="C110" i="2"/>
  <c r="K257" i="1"/>
  <c r="K271" i="1" s="1"/>
  <c r="D14" i="13"/>
  <c r="C14" i="13" s="1"/>
  <c r="C123" i="2"/>
  <c r="C20" i="10"/>
  <c r="C16" i="10"/>
  <c r="D7" i="13"/>
  <c r="C7" i="13" s="1"/>
  <c r="D5" i="13"/>
  <c r="C5" i="13" s="1"/>
  <c r="L211" i="1"/>
  <c r="A13" i="12"/>
  <c r="C10" i="10"/>
  <c r="E103" i="2"/>
  <c r="C91" i="2"/>
  <c r="C78" i="2"/>
  <c r="E62" i="2"/>
  <c r="E63" i="2" s="1"/>
  <c r="F112" i="1"/>
  <c r="H52" i="1"/>
  <c r="H619" i="1" s="1"/>
  <c r="J619" i="1" s="1"/>
  <c r="J617" i="1"/>
  <c r="C18" i="2"/>
  <c r="C16" i="13"/>
  <c r="E13" i="13"/>
  <c r="C13" i="13" s="1"/>
  <c r="L290" i="1"/>
  <c r="L539" i="1"/>
  <c r="K503" i="1"/>
  <c r="L382" i="1"/>
  <c r="G636" i="1" s="1"/>
  <c r="J636" i="1" s="1"/>
  <c r="K352" i="1"/>
  <c r="E109" i="2"/>
  <c r="E115" i="2" s="1"/>
  <c r="C62" i="2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8" i="2"/>
  <c r="C111" i="2"/>
  <c r="C56" i="2"/>
  <c r="F662" i="1"/>
  <c r="I662" i="1" s="1"/>
  <c r="C13" i="10"/>
  <c r="F661" i="1"/>
  <c r="I661" i="1" s="1"/>
  <c r="K551" i="1"/>
  <c r="H25" i="13"/>
  <c r="F169" i="1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H193" i="1"/>
  <c r="G629" i="1" s="1"/>
  <c r="J629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D104" i="2" l="1"/>
  <c r="K552" i="1"/>
  <c r="E128" i="2"/>
  <c r="E145" i="2" s="1"/>
  <c r="G660" i="1"/>
  <c r="G664" i="1" s="1"/>
  <c r="G667" i="1" s="1"/>
  <c r="L408" i="1"/>
  <c r="G637" i="1" s="1"/>
  <c r="J637" i="1" s="1"/>
  <c r="C141" i="2"/>
  <c r="C144" i="2" s="1"/>
  <c r="L338" i="1"/>
  <c r="L352" i="1" s="1"/>
  <c r="G633" i="1" s="1"/>
  <c r="J633" i="1" s="1"/>
  <c r="H660" i="1"/>
  <c r="H664" i="1" s="1"/>
  <c r="H667" i="1" s="1"/>
  <c r="C115" i="2"/>
  <c r="L257" i="1"/>
  <c r="L271" i="1" s="1"/>
  <c r="G632" i="1" s="1"/>
  <c r="J632" i="1" s="1"/>
  <c r="C128" i="2"/>
  <c r="F660" i="1"/>
  <c r="E104" i="2"/>
  <c r="C39" i="10"/>
  <c r="F193" i="1"/>
  <c r="G627" i="1" s="1"/>
  <c r="J627" i="1" s="1"/>
  <c r="C36" i="10"/>
  <c r="C63" i="2"/>
  <c r="C104" i="2" s="1"/>
  <c r="C25" i="13"/>
  <c r="H33" i="13"/>
  <c r="E33" i="13"/>
  <c r="D35" i="13" s="1"/>
  <c r="L545" i="1"/>
  <c r="C28" i="10"/>
  <c r="D22" i="10" s="1"/>
  <c r="D31" i="13"/>
  <c r="C31" i="13" s="1"/>
  <c r="H648" i="1"/>
  <c r="J648" i="1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I660" i="1"/>
  <c r="I664" i="1" s="1"/>
  <c r="I672" i="1" s="1"/>
  <c r="C7" i="10" s="1"/>
  <c r="H646" i="1"/>
  <c r="J646" i="1" s="1"/>
  <c r="D33" i="13"/>
  <c r="D36" i="13" s="1"/>
  <c r="C145" i="2"/>
  <c r="D27" i="10"/>
  <c r="D17" i="10"/>
  <c r="D19" i="10"/>
  <c r="D20" i="10"/>
  <c r="C30" i="10"/>
  <c r="D24" i="10"/>
  <c r="D18" i="10"/>
  <c r="D25" i="10"/>
  <c r="D26" i="10"/>
  <c r="D16" i="10"/>
  <c r="F664" i="1"/>
  <c r="F667" i="1" s="1"/>
  <c r="D10" i="10"/>
  <c r="D15" i="10"/>
  <c r="D12" i="10"/>
  <c r="D23" i="10"/>
  <c r="D13" i="10"/>
  <c r="D11" i="10"/>
  <c r="D21" i="10"/>
  <c r="F672" i="1"/>
  <c r="C4" i="10" s="1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<sst xmlns="http://schemas.openxmlformats.org/spreadsheetml/2006/main" count="3959" uniqueCount="917">
  <si>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</si>
  <si>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</si>
  <si>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</si>
  <si>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</si>
  <si>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</si>
  <si>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</si>
  <si>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</si>
  <si>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</si>
  <si>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</si>
  <si>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</si>
  <si>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</si>
  <si>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</si>
  <si>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</si>
  <si>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</si>
  <si>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</si>
  <si>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</si>
  <si>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</si>
  <si>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</si>
  <si>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</si>
  <si>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</si>
  <si>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</si>
  <si>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</si>
  <si>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</si>
  <si>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</si>
  <si>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</si>
  <si>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</si>
  <si>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</si>
  <si>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</si>
  <si>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</si>
  <si>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</si>
  <si>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</si>
  <si>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</si>
  <si>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</si>
  <si>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</si>
  <si>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</si>
  <si>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</si>
  <si>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</si>
  <si>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</si>
  <si>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</si>
  <si>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</si>
  <si>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</si>
  <si>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</si>
  <si>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</si>
  <si>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</si>
  <si>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</si>
  <si>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</si>
  <si>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</si>
  <si>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</si>
  <si>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</si>
  <si>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</si>
  <si>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</si>
  <si>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</si>
  <si>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</si>
  <si>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</si>
  <si>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</si>
  <si>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</si>
  <si>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</si>
  <si>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</si>
  <si>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</si>
  <si>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</si>
  <si>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</si>
  <si>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</si>
  <si>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</si>
  <si>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</si>
  <si>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</si>
  <si>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</si>
  <si>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</si>
  <si>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</si>
  <si>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</si>
  <si>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</si>
  <si>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</si>
  <si>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</si>
  <si>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</si>
  <si>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</si>
  <si>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</si>
  <si>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</si>
  <si>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</si>
  <si>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</si>
  <si>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</si>
  <si>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</si>
  <si>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</si>
  <si>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</si>
  <si>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</si>
  <si>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</si>
  <si>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</si>
  <si>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</si>
  <si>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</si>
  <si>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</si>
  <si>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</si>
  <si>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</si>
  <si>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</si>
  <si>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</si>
  <si>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</si>
  <si>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</si>
  <si>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</si>
  <si>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</si>
  <si>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</si>
  <si>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</si>
  <si>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</si>
  <si>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</si>
  <si>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</si>
  <si>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</si>
  <si>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</si>
  <si>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</si>
  <si>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</si>
  <si>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</si>
  <si>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</si>
  <si>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</si>
  <si>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</si>
  <si>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</si>
  <si>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</si>
  <si>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</si>
  <si>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</si>
  <si>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</si>
  <si>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</si>
  <si>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</si>
  <si>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</si>
  <si>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</si>
  <si>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</si>
  <si>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</si>
  <si>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</si>
  <si>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</si>
  <si>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</si>
  <si>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</si>
  <si>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</si>
  <si>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</si>
  <si>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</si>
  <si>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</si>
  <si>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</si>
  <si>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</si>
  <si>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</si>
  <si>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</si>
  <si>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</si>
  <si>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</si>
  <si>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</si>
  <si>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</si>
  <si>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</si>
  <si>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</si>
  <si>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</si>
  <si>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</si>
  <si>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</si>
  <si>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</si>
  <si>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</si>
  <si>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</si>
  <si>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</si>
  <si>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</si>
  <si>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</si>
  <si>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</si>
  <si>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</si>
  <si>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</si>
  <si>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</si>
  <si>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</si>
  <si>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</si>
  <si>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</si>
  <si>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</si>
  <si>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</si>
  <si>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</si>
  <si>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</si>
  <si>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</si>
  <si>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</si>
  <si>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</si>
  <si>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</si>
  <si>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</si>
  <si>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</si>
  <si>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</si>
  <si>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</si>
  <si>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</si>
  <si>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</si>
  <si>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</si>
  <si>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</si>
  <si>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</si>
  <si>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</si>
  <si>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</si>
  <si>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</si>
  <si>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</si>
  <si>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</si>
  <si>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</si>
  <si>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</si>
  <si>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</si>
  <si>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</si>
  <si>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</si>
  <si>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</si>
  <si>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</si>
  <si>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</si>
  <si>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</si>
  <si>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</si>
  <si>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</si>
  <si>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</si>
  <si>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</si>
  <si>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</si>
  <si>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</si>
  <si>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</si>
  <si>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</si>
  <si>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</si>
  <si>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</si>
  <si>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</si>
  <si>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</si>
  <si>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</si>
  <si>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</si>
  <si>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</si>
  <si>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</si>
  <si>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</si>
  <si>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</si>
  <si>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</si>
  <si>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</si>
  <si>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</si>
  <si>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</si>
  <si>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</si>
  <si>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</si>
  <si>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</si>
  <si>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</si>
  <si>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</si>
  <si>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</si>
  <si>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</si>
  <si>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</si>
  <si>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</si>
  <si>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</si>
  <si>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</si>
  <si>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</si>
  <si>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</si>
  <si>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</si>
  <si>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</si>
  <si>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</si>
  <si>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</si>
  <si>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</si>
  <si>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</si>
  <si>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</si>
  <si>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</si>
  <si>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</si>
  <si>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</si>
  <si>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</si>
  <si>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</si>
  <si>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</si>
  <si>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</si>
  <si>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</si>
  <si>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</si>
  <si>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</si>
  <si>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</si>
  <si>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</si>
  <si>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</si>
  <si>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</si>
  <si>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</si>
  <si>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</si>
  <si>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</si>
  <si>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</si>
  <si>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</si>
  <si>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</si>
  <si>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</si>
  <si>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</si>
  <si>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</si>
  <si>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</si>
  <si>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</si>
  <si>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</si>
  <si>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</si>
  <si>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</si>
  <si>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</si>
  <si>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</si>
  <si>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</si>
  <si>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</si>
  <si>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</si>
  <si>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</si>
  <si>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</si>
  <si>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</si>
  <si>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</si>
  <si>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</si>
  <si>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</si>
  <si>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</si>
  <si>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</si>
  <si>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</si>
  <si>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</si>
  <si>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</si>
  <si>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</si>
  <si>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</si>
  <si>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</si>
  <si>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</si>
  <si>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</si>
  <si>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</si>
  <si>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</si>
  <si>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</si>
  <si>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</si>
  <si>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</si>
  <si>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</si>
  <si>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</si>
  <si>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</si>
  <si>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</si>
  <si>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</si>
  <si>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</si>
  <si>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</si>
  <si>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</si>
  <si>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</si>
  <si>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</si>
  <si>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</si>
  <si>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</si>
  <si>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</si>
  <si>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</si>
  <si>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</si>
  <si>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</si>
  <si>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</si>
  <si>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</si>
  <si>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</si>
  <si>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</si>
  <si>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</si>
  <si>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</si>
  <si>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</si>
  <si>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</si>
  <si>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</si>
  <si>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</si>
  <si>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</si>
  <si>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</si>
  <si>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</si>
  <si>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</si>
  <si>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</si>
  <si>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</si>
  <si>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</si>
  <si>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</si>
  <si>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</si>
  <si>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</si>
  <si>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</si>
  <si>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</si>
  <si>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</si>
  <si>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</si>
  <si>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</si>
  <si>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</si>
  <si>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</si>
  <si>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</si>
  <si>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</si>
  <si>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</si>
  <si>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</si>
  <si>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</si>
  <si>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</si>
  <si>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</si>
  <si>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</si>
  <si>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</si>
  <si>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</si>
  <si>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</si>
  <si>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</si>
  <si>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</si>
  <si>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</si>
  <si>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</si>
  <si>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</si>
  <si>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</si>
  <si>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</si>
  <si>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</si>
  <si>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</si>
  <si>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</si>
  <si>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</si>
  <si>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</si>
  <si>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</si>
  <si>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</si>
  <si>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</si>
  <si>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</si>
  <si>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</si>
  <si>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</si>
  <si>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</si>
  <si>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</si>
  <si>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</si>
  <si>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</si>
  <si>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</si>
  <si>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</si>
  <si>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</si>
  <si>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</si>
  <si>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</si>
  <si>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</si>
  <si>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</si>
  <si>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</si>
  <si>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</si>
  <si>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</si>
  <si>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</si>
  <si>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</si>
  <si>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</si>
  <si>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</si>
  <si>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</si>
  <si>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</si>
  <si>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</si>
  <si>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</si>
  <si>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</si>
  <si>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</si>
  <si>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</si>
  <si>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</si>
  <si>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</si>
  <si>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</si>
  <si>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</si>
  <si>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</si>
  <si>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</si>
  <si>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</si>
  <si>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</si>
  <si>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</si>
  <si>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</si>
  <si>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</si>
  <si>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</si>
  <si>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</si>
  <si>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</si>
  <si>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</si>
  <si>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</si>
  <si>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</si>
  <si>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</si>
  <si>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</si>
  <si>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</si>
  <si>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</si>
  <si>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</si>
  <si>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</si>
  <si>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</si>
  <si>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</si>
  <si>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</si>
  <si>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</si>
  <si>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</si>
  <si>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</si>
  <si>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</si>
  <si>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</si>
  <si>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</si>
  <si>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</si>
  <si>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</si>
  <si>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</si>
  <si>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</si>
  <si>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</si>
  <si>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</si>
  <si>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</si>
  <si>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</si>
  <si>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</si>
  <si>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</si>
  <si>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</si>
  <si>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</si>
  <si>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</si>
  <si>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</si>
  <si>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</si>
  <si>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</si>
  <si>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</si>
  <si>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</si>
  <si>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</si>
  <si>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</si>
  <si>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</si>
  <si>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</si>
  <si>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</si>
  <si>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</si>
  <si>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</si>
  <si>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</si>
  <si>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</si>
  <si>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</si>
  <si>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</si>
  <si>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</si>
  <si>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</si>
  <si>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</si>
  <si>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</si>
  <si>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</si>
  <si>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</si>
  <si>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</si>
  <si>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</si>
  <si>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</si>
  <si>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</si>
  <si>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</si>
  <si>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</si>
  <si>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</si>
  <si>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</si>
  <si>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</si>
  <si>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</si>
  <si>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</si>
  <si>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</si>
  <si>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</si>
  <si>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</si>
  <si>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</si>
  <si>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</si>
  <si>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</si>
  <si>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</si>
  <si>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</si>
  <si>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</si>
  <si>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</si>
  <si>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</si>
  <si>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</si>
  <si>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</si>
  <si>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</si>
  <si>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</si>
  <si>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</si>
  <si>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</si>
  <si>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</si>
  <si>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</si>
  <si>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</si>
  <si>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</si>
  <si>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</si>
  <si>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</si>
  <si>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</si>
  <si>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</si>
  <si>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</si>
  <si>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</si>
  <si>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</si>
  <si>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</si>
  <si>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</si>
  <si>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</si>
  <si>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</si>
  <si>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</si>
  <si>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</si>
  <si>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</si>
  <si>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</si>
  <si>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</si>
  <si>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</si>
  <si>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</si>
  <si>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</si>
  <si>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</si>
  <si>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</si>
  <si>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</si>
  <si>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</si>
  <si>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</si>
  <si>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</si>
  <si>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</si>
  <si>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</si>
  <si>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</si>
  <si>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</si>
  <si>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</si>
  <si>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</si>
  <si>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</si>
  <si>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</si>
  <si>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</si>
  <si>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</si>
  <si>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</si>
  <si>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</si>
  <si>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</si>
  <si>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</si>
  <si>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</si>
  <si>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</si>
  <si>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</si>
  <si>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</si>
  <si>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</si>
  <si>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</si>
  <si>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</si>
  <si>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</si>
  <si>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</si>
  <si>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</si>
  <si>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</si>
  <si>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</si>
  <si>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</si>
  <si>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</si>
  <si>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</si>
  <si>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</si>
  <si>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</si>
  <si>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</si>
  <si>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</si>
  <si>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</si>
  <si>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</si>
  <si>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</si>
  <si>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</si>
  <si>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</si>
  <si>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</si>
  <si>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</si>
  <si>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</si>
  <si>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</si>
  <si>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</si>
  <si>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</si>
  <si>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</si>
  <si>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</si>
  <si>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</si>
  <si>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</si>
  <si>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</si>
  <si>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</si>
  <si>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</si>
  <si>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</si>
  <si>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</si>
  <si>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</si>
  <si>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</si>
  <si>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</si>
  <si>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</si>
  <si>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</si>
  <si>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</si>
  <si>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</si>
  <si>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</si>
  <si>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</si>
  <si>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</si>
  <si>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</si>
  <si>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</si>
  <si>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</si>
  <si>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</si>
  <si>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</si>
  <si>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</si>
  <si>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</si>
  <si>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</si>
  <si>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</si>
  <si>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</si>
  <si>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</si>
  <si>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</si>
  <si>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</si>
  <si>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</si>
  <si>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</si>
  <si>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</si>
  <si>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</si>
  <si>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</si>
  <si>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</si>
  <si>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</si>
  <si>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</si>
  <si>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</si>
  <si>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</si>
  <si>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</si>
  <si>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</si>
  <si>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</si>
  <si>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</si>
  <si>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</si>
  <si>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</si>
  <si>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</si>
  <si>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</si>
  <si>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</si>
  <si>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</si>
  <si>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</si>
  <si>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</si>
  <si>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</si>
  <si>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</si>
  <si>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</si>
  <si>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</si>
  <si>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</si>
  <si>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</si>
  <si>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</si>
  <si>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</si>
  <si>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</si>
  <si>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</si>
  <si>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</si>
  <si>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</si>
  <si>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</si>
  <si>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</si>
  <si>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</si>
  <si>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</si>
  <si>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</si>
  <si>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</si>
  <si>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</si>
  <si>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</si>
  <si>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</si>
  <si>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</si>
  <si>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</si>
  <si>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</si>
  <si>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</si>
  <si>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</si>
  <si>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</si>
  <si>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</si>
  <si>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</si>
  <si>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</si>
  <si>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</si>
  <si>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</si>
  <si>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</si>
  <si>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</si>
  <si>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</si>
  <si>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</si>
  <si>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</si>
  <si>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</si>
  <si>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</si>
  <si>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</si>
  <si>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</si>
  <si>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</si>
  <si>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</si>
  <si>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</si>
  <si>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</si>
  <si>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</si>
  <si>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</si>
  <si>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</si>
  <si>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</si>
  <si>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</si>
  <si>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</si>
  <si>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</si>
  <si>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</si>
  <si>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</si>
  <si>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</si>
  <si>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</si>
  <si>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</si>
  <si>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</si>
  <si>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</si>
  <si>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</si>
  <si>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</si>
  <si>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</si>
  <si>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</si>
  <si>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</si>
  <si>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</si>
  <si>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</si>
  <si>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</si>
  <si>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</si>
  <si>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</si>
  <si>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</si>
  <si>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</si>
  <si>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</si>
  <si>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</si>
  <si>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</si>
  <si>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</si>
  <si>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</si>
  <si>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</si>
  <si>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</si>
  <si>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</si>
  <si>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</si>
  <si>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</si>
  <si>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</si>
  <si>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</si>
  <si>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</si>
  <si>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</si>
  <si>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</si>
  <si>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</si>
  <si>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</si>
  <si>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</si>
  <si>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</si>
  <si>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</si>
  <si>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</si>
  <si>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</si>
  <si>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</si>
  <si>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</si>
  <si>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</si>
  <si>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</si>
  <si>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</si>
  <si>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</si>
  <si>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</si>
  <si>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</si>
  <si>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</si>
  <si>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</si>
  <si>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</si>
  <si>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</si>
  <si>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</si>
  <si>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</si>
  <si>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</si>
  <si>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</si>
  <si>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</si>
  <si>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</si>
  <si>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</si>
  <si>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</si>
  <si>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</si>
  <si>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</si>
  <si>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</si>
  <si>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</si>
  <si>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</si>
  <si>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</si>
  <si>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</si>
  <si>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</si>
  <si>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</si>
  <si>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</si>
  <si>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</si>
  <si>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</si>
  <si>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</si>
  <si>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</si>
  <si>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</si>
  <si>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</si>
  <si>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</si>
  <si>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</si>
  <si>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</si>
  <si>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</si>
  <si>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</si>
  <si>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</si>
  <si>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</si>
  <si>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</si>
  <si>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</si>
  <si>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</si>
  <si>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</si>
  <si>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</si>
  <si>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</si>
  <si>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</si>
  <si>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</si>
  <si>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</si>
  <si>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</si>
  <si>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</si>
  <si>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</si>
  <si>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</si>
  <si>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</si>
  <si>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</si>
  <si>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</si>
  <si>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</si>
  <si>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</si>
  <si>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</si>
  <si>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</si>
  <si>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</si>
  <si>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</si>
  <si>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</si>
  <si>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</si>
  <si>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</si>
  <si>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</si>
  <si>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</si>
  <si>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</si>
  <si>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</si>
  <si>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</si>
  <si>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</si>
  <si>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</si>
  <si>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</si>
  <si>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</si>
  <si>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</si>
  <si>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</si>
  <si>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</si>
  <si>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</si>
  <si>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</si>
  <si>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</si>
  <si>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</si>
  <si>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</si>
  <si>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</si>
  <si>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</si>
  <si>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</si>
  <si>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</si>
  <si>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</si>
  <si>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</si>
  <si>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</si>
  <si>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</si>
  <si>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</si>
  <si>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</si>
  <si>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</si>
  <si>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</si>
  <si>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</si>
  <si>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</si>
  <si>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</si>
  <si>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</si>
  <si>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</si>
  <si>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</si>
  <si>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</si>
  <si>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</si>
  <si>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</si>
  <si>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</si>
  <si>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</si>
  <si>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</si>
  <si>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</si>
  <si>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</si>
  <si>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</si>
  <si>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</si>
  <si>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</si>
  <si>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</si>
  <si>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</si>
  <si>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</si>
  <si>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</si>
  <si>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</si>
  <si>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</si>
  <si>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</si>
  <si>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</si>
  <si>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</si>
  <si>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</si>
  <si>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</si>
  <si>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</si>
  <si>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</si>
  <si>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</si>
  <si>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</si>
  <si>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</si>
  <si>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</si>
  <si>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</si>
  <si>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</si>
  <si>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</si>
  <si>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</si>
  <si>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</si>
  <si>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</si>
  <si>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</si>
  <si>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</si>
  <si>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</si>
  <si>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</si>
  <si>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</si>
  <si>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</si>
  <si>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</si>
  <si>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</si>
  <si>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</si>
  <si>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</si>
  <si>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</si>
  <si>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</si>
  <si>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</si>
  <si>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</si>
  <si>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</si>
  <si>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</si>
  <si>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</si>
  <si>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</si>
  <si>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</si>
  <si>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</si>
  <si>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</si>
  <si>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</si>
  <si>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</si>
  <si>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</si>
  <si>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</si>
  <si>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</si>
  <si>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</si>
  <si>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</si>
  <si>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</si>
  <si>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</si>
  <si>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</si>
  <si>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</si>
  <si>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</si>
  <si>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</si>
  <si>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</si>
  <si>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</si>
  <si>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</si>
  <si>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</si>
  <si>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</si>
  <si>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</si>
  <si>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</si>
  <si>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</si>
  <si>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</si>
  <si>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</si>
  <si>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</si>
  <si>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</si>
  <si>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</si>
  <si>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</si>
  <si>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</si>
  <si>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</si>
  <si>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</si>
  <si>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</si>
  <si>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</si>
  <si>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</si>
  <si>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</si>
  <si>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</si>
  <si>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</si>
  <si>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</si>
  <si>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</si>
  <si>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</si>
  <si>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</si>
  <si>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</si>
  <si>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</si>
  <si>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</si>
  <si>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</si>
  <si>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</si>
  <si>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</si>
  <si>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</si>
  <si>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</si>
  <si>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</si>
  <si>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</si>
  <si>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</si>
  <si>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</si>
  <si>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</si>
  <si>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</si>
  <si>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</si>
  <si>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</si>
  <si>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</si>
  <si>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</si>
  <si>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</si>
  <si>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</si>
  <si>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</si>
  <si>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08/15/2007</t>
  </si>
  <si>
    <t>08/15/2027</t>
  </si>
  <si>
    <t>the FY17 required audit.</t>
  </si>
  <si>
    <t>As of 11/16/17, the totals entered is based on a preliminary audit. We are currently still working with our Auditors to complete</t>
  </si>
  <si>
    <t>Final Revision 11/29/17 - Emailed to DRA, Superintendent, Town of Newport Finance Director on 11/29/17 @ 10:40am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</si>
</sst>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/>
      <c r="B2" s="21"/>
      <c r="C2" s="21"/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845712.39</v>
      </c>
      <c r="G9" s="18"/>
      <c r="H9" s="18"/>
      <c r="I9" s="18"/>
      <c r="J9" s="67">
        <f>SUM(I439)</f>
        <v>303678.62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517107.8</v>
      </c>
      <c r="G12" s="18">
        <v>-57615.47</v>
      </c>
      <c r="H12" s="18">
        <v>-535072.82999999996</v>
      </c>
      <c r="I12" s="18"/>
      <c r="J12" s="67">
        <f>SUM(I441)</f>
        <v>100000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57486.69</v>
      </c>
      <c r="H13" s="18">
        <v>988489.56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-562.49</v>
      </c>
      <c r="G14" s="18">
        <v>1530.95</v>
      </c>
      <c r="H14" s="18">
        <f>-1444.97-220.7</f>
        <v>-1665.67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1532.12</v>
      </c>
      <c r="G17" s="18">
        <v>15644.59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1363789.82</v>
      </c>
      <c r="G19" s="41">
        <f>SUM(G9:G18)</f>
        <v>17046.760000000002</v>
      </c>
      <c r="H19" s="41">
        <f>SUM(H9:H18)</f>
        <v>451751.06000000011</v>
      </c>
      <c r="I19" s="41">
        <f>SUM(I9:I18)</f>
        <v>0</v>
      </c>
      <c r="J19" s="41">
        <f>SUM(J9:J18)</f>
        <v>403678.62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-3539.95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696504.96</v>
      </c>
      <c r="G24" s="18"/>
      <c r="H24" s="18">
        <v>446005.74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21266.400000000001</v>
      </c>
      <c r="G28" s="18"/>
      <c r="H28" s="18">
        <v>5547.05</v>
      </c>
      <c r="I28" s="18"/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-101070.71</v>
      </c>
      <c r="G29" s="18"/>
      <c r="H29" s="18">
        <v>198.27</v>
      </c>
      <c r="I29" s="18"/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15546.76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613160.70000000007</v>
      </c>
      <c r="G32" s="41">
        <f>SUM(G22:G31)</f>
        <v>15546.76</v>
      </c>
      <c r="H32" s="41">
        <f>SUM(H22:H31)</f>
        <v>451751.06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1500</v>
      </c>
      <c r="H48" s="18"/>
      <c r="I48" s="18"/>
      <c r="J48" s="13">
        <f>SUM(I459)</f>
        <v>403678.62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650629.12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750629.12</v>
      </c>
      <c r="G51" s="41">
        <f>SUM(G35:G50)</f>
        <v>1500</v>
      </c>
      <c r="H51" s="41">
        <f>SUM(H35:H50)</f>
        <v>0</v>
      </c>
      <c r="I51" s="41">
        <f>SUM(I35:I50)</f>
        <v>0</v>
      </c>
      <c r="J51" s="41">
        <f>SUM(J35:J50)</f>
        <v>403678.62</v>
      </c>
      <c r="K51" s="45" t="s">
        <v>288</v>
      </c>
      <c r="L51" s="45" t="s">
        <v>288</v>
      </c>
      <c r="N51" s="268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1363789.82</v>
      </c>
      <c r="G52" s="41">
        <f>G51+G32</f>
        <v>17046.760000000002</v>
      </c>
      <c r="H52" s="41">
        <f>H51+H32</f>
        <v>451751.06</v>
      </c>
      <c r="I52" s="41">
        <f>I51+I32</f>
        <v>0</v>
      </c>
      <c r="J52" s="41">
        <f>J51+J32</f>
        <v>403678.62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5320452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5320452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8718.2000000000007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3000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1498418.4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4537.26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8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1514673.8599999999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1117.26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1117.26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5470.73</v>
      </c>
      <c r="G96" s="18"/>
      <c r="H96" s="18"/>
      <c r="I96" s="18"/>
      <c r="J96" s="18">
        <v>931.9</v>
      </c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103638.98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17463.73</v>
      </c>
      <c r="I102" s="18"/>
      <c r="J102" s="18"/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67201.53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149757.87</v>
      </c>
      <c r="G110" s="18">
        <v>4864.5</v>
      </c>
      <c r="H110" s="18">
        <v>11456.72</v>
      </c>
      <c r="I110" s="18"/>
      <c r="J110" s="18"/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222430.13</v>
      </c>
      <c r="G111" s="41">
        <f>SUM(G96:G110)</f>
        <v>108503.48</v>
      </c>
      <c r="H111" s="41">
        <f>SUM(H96:H110)</f>
        <v>28920.449999999997</v>
      </c>
      <c r="I111" s="41">
        <f>SUM(I96:I110)</f>
        <v>0</v>
      </c>
      <c r="J111" s="41">
        <f>SUM(J96:J110)</f>
        <v>931.9</v>
      </c>
      <c r="K111" s="45" t="s">
        <v>288</v>
      </c>
      <c r="L111" s="45" t="s">
        <v>288</v>
      </c>
      <c r="N111" s="268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7058673.2499999991</v>
      </c>
      <c r="G112" s="41">
        <f>G60+G111</f>
        <v>108503.48</v>
      </c>
      <c r="H112" s="41">
        <f>H60+H79+H94+H111</f>
        <v>28920.449999999997</v>
      </c>
      <c r="I112" s="41">
        <f>I60+I111</f>
        <v>0</v>
      </c>
      <c r="J112" s="41">
        <f>J60+J111</f>
        <v>931.9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6637280.4400000004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908537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7545817.4400000004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339729.59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189321.22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47503.41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1328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5301.17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577882.22000000009</v>
      </c>
      <c r="G136" s="41">
        <f>SUM(G123:G135)</f>
        <v>5301.17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8123699.6600000001</v>
      </c>
      <c r="G140" s="41">
        <f>G121+SUM(G136:G137)</f>
        <v>5301.17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424848.41</v>
      </c>
      <c r="I150" s="18"/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527469.49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334886.73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50265.17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296346.42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172426.46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46258.67</v>
      </c>
      <c r="I161" s="18"/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172426.46</v>
      </c>
      <c r="G162" s="41">
        <f>SUM(G150:G161)</f>
        <v>296346.42</v>
      </c>
      <c r="H162" s="41">
        <f>SUM(H150:H161)</f>
        <v>1383728.4699999997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172426.46</v>
      </c>
      <c r="G169" s="41">
        <f>G147+G162+SUM(G163:G168)</f>
        <v>296346.42</v>
      </c>
      <c r="H169" s="41">
        <f>H147+H162+SUM(H163:H168)</f>
        <v>1383728.4699999997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2184.4499999999998</v>
      </c>
      <c r="H179" s="18"/>
      <c r="I179" s="18"/>
      <c r="J179" s="18"/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2184.4499999999998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8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8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2184.4499999999998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15354799.370000001</v>
      </c>
      <c r="G193" s="47">
        <f>G112+G140+G169+G192</f>
        <v>412335.51999999996</v>
      </c>
      <c r="H193" s="47">
        <f>H112+H140+H169+H192</f>
        <v>1412648.9199999997</v>
      </c>
      <c r="I193" s="47">
        <f>I112+I140+I169+I192</f>
        <v>0</v>
      </c>
      <c r="J193" s="47">
        <f>J112+J140+J192</f>
        <v>931.9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1182066.1200000001</v>
      </c>
      <c r="G197" s="18">
        <v>650566.31000000006</v>
      </c>
      <c r="H197" s="18">
        <v>11218.09</v>
      </c>
      <c r="I197" s="18">
        <v>37605.99</v>
      </c>
      <c r="J197" s="18">
        <v>3364.44</v>
      </c>
      <c r="K197" s="18"/>
      <c r="L197" s="19">
        <f>SUM(F197:K197)</f>
        <v>1884820.9500000002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638644.31999999995</v>
      </c>
      <c r="G198" s="18">
        <v>290740.81</v>
      </c>
      <c r="H198" s="18">
        <v>375120.48</v>
      </c>
      <c r="I198" s="18">
        <v>2494.41</v>
      </c>
      <c r="J198" s="18">
        <v>2703.92</v>
      </c>
      <c r="K198" s="18">
        <v>545.77</v>
      </c>
      <c r="L198" s="19">
        <f>SUM(F198:K198)</f>
        <v>1310249.7099999997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6173.64</v>
      </c>
      <c r="G200" s="18">
        <v>1474.28</v>
      </c>
      <c r="H200" s="18"/>
      <c r="I200" s="18">
        <v>279.08</v>
      </c>
      <c r="J200" s="18"/>
      <c r="K200" s="18"/>
      <c r="L200" s="19">
        <f>SUM(F200:K200)</f>
        <v>7927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540955.42000000004</v>
      </c>
      <c r="G202" s="18">
        <v>230783.66</v>
      </c>
      <c r="H202" s="18">
        <v>64197.05</v>
      </c>
      <c r="I202" s="18">
        <v>1837.72</v>
      </c>
      <c r="J202" s="18"/>
      <c r="K202" s="18"/>
      <c r="L202" s="19">
        <f t="shared" ref="L202:L208" si="0">SUM(F202:K202)</f>
        <v>837773.85000000009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127199.08</v>
      </c>
      <c r="G203" s="18">
        <v>58508.92</v>
      </c>
      <c r="H203" s="18">
        <v>68813.87</v>
      </c>
      <c r="I203" s="18">
        <v>21423.98</v>
      </c>
      <c r="J203" s="18">
        <v>62668.37</v>
      </c>
      <c r="K203" s="18">
        <v>5929.7</v>
      </c>
      <c r="L203" s="19">
        <f t="shared" si="0"/>
        <v>344543.92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132980.99</v>
      </c>
      <c r="G204" s="18">
        <v>51805.3</v>
      </c>
      <c r="H204" s="18">
        <v>26751.59</v>
      </c>
      <c r="I204" s="18">
        <v>1763.17</v>
      </c>
      <c r="J204" s="18">
        <v>297.69</v>
      </c>
      <c r="K204" s="18">
        <v>5073.26</v>
      </c>
      <c r="L204" s="19">
        <f t="shared" si="0"/>
        <v>218672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207813.86</v>
      </c>
      <c r="G205" s="18">
        <v>73346.09</v>
      </c>
      <c r="H205" s="18">
        <v>1900.24</v>
      </c>
      <c r="I205" s="18"/>
      <c r="J205" s="18"/>
      <c r="K205" s="18">
        <v>2026.67</v>
      </c>
      <c r="L205" s="19">
        <f t="shared" si="0"/>
        <v>285086.85999999993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76743.64</v>
      </c>
      <c r="G206" s="18">
        <v>29511.93</v>
      </c>
      <c r="H206" s="18">
        <v>17495.77</v>
      </c>
      <c r="I206" s="18">
        <v>17035.02</v>
      </c>
      <c r="J206" s="18">
        <v>1024.05</v>
      </c>
      <c r="K206" s="18">
        <v>752.3</v>
      </c>
      <c r="L206" s="19">
        <f t="shared" si="0"/>
        <v>142562.71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56873.75</v>
      </c>
      <c r="G207" s="18">
        <v>44111.38</v>
      </c>
      <c r="H207" s="18">
        <v>285200.98</v>
      </c>
      <c r="I207" s="18">
        <v>106307.03</v>
      </c>
      <c r="J207" s="18">
        <v>398</v>
      </c>
      <c r="K207" s="18"/>
      <c r="L207" s="19">
        <f t="shared" si="0"/>
        <v>492891.14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153547.32</v>
      </c>
      <c r="G208" s="18">
        <v>34703.870000000003</v>
      </c>
      <c r="H208" s="18">
        <v>120788.1</v>
      </c>
      <c r="I208" s="18">
        <v>15322.82</v>
      </c>
      <c r="J208" s="18">
        <v>10703.8</v>
      </c>
      <c r="K208" s="18">
        <v>258.13</v>
      </c>
      <c r="L208" s="19">
        <f t="shared" si="0"/>
        <v>335324.04000000004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3122998.14</v>
      </c>
      <c r="G211" s="41">
        <f t="shared" si="1"/>
        <v>1465552.55</v>
      </c>
      <c r="H211" s="41">
        <f t="shared" si="1"/>
        <v>971486.16999999993</v>
      </c>
      <c r="I211" s="41">
        <f t="shared" si="1"/>
        <v>204069.22</v>
      </c>
      <c r="J211" s="41">
        <f t="shared" si="1"/>
        <v>81160.270000000019</v>
      </c>
      <c r="K211" s="41">
        <f t="shared" si="1"/>
        <v>14585.829999999998</v>
      </c>
      <c r="L211" s="41">
        <f t="shared" si="1"/>
        <v>5859852.1800000006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684195.64</v>
      </c>
      <c r="G215" s="18">
        <v>395970.8</v>
      </c>
      <c r="H215" s="18">
        <v>81.53</v>
      </c>
      <c r="I215" s="18">
        <v>17141.650000000001</v>
      </c>
      <c r="J215" s="18">
        <v>2687.53</v>
      </c>
      <c r="K215" s="18">
        <v>429</v>
      </c>
      <c r="L215" s="19">
        <f>SUM(F215:K215)</f>
        <v>1100506.1499999999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297912.5</v>
      </c>
      <c r="G216" s="18">
        <v>109729.87</v>
      </c>
      <c r="H216" s="18">
        <v>170045.56</v>
      </c>
      <c r="I216" s="18">
        <v>420.55</v>
      </c>
      <c r="J216" s="18">
        <v>512.38</v>
      </c>
      <c r="K216" s="18">
        <v>210.83</v>
      </c>
      <c r="L216" s="19">
        <f>SUM(F216:K216)</f>
        <v>578831.68999999994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21865.68</v>
      </c>
      <c r="G218" s="18">
        <v>2908.46</v>
      </c>
      <c r="H218" s="18"/>
      <c r="I218" s="18"/>
      <c r="J218" s="18"/>
      <c r="K218" s="18"/>
      <c r="L218" s="19">
        <f>SUM(F218:K218)</f>
        <v>24774.14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66045.62</v>
      </c>
      <c r="G220" s="18">
        <v>13648.2</v>
      </c>
      <c r="H220" s="18">
        <v>23804.26</v>
      </c>
      <c r="I220" s="18">
        <v>343.86</v>
      </c>
      <c r="J220" s="18"/>
      <c r="K220" s="18"/>
      <c r="L220" s="19">
        <f t="shared" ref="L220:L226" si="2">SUM(F220:K220)</f>
        <v>103841.93999999999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35862.53</v>
      </c>
      <c r="G221" s="18">
        <v>16567.28</v>
      </c>
      <c r="H221" s="18">
        <v>7696.09</v>
      </c>
      <c r="I221" s="18">
        <v>1903.48</v>
      </c>
      <c r="J221" s="18"/>
      <c r="K221" s="18"/>
      <c r="L221" s="19">
        <f t="shared" si="2"/>
        <v>62029.38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51370.49</v>
      </c>
      <c r="G222" s="18">
        <v>20012.36</v>
      </c>
      <c r="H222" s="18">
        <v>10334.129999999999</v>
      </c>
      <c r="I222" s="18">
        <v>681.11</v>
      </c>
      <c r="J222" s="18">
        <v>115</v>
      </c>
      <c r="K222" s="18">
        <v>1959.8</v>
      </c>
      <c r="L222" s="19">
        <f t="shared" si="2"/>
        <v>84472.890000000014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62720.1</v>
      </c>
      <c r="G223" s="18">
        <v>31531.62</v>
      </c>
      <c r="H223" s="18"/>
      <c r="I223" s="18"/>
      <c r="J223" s="18"/>
      <c r="K223" s="18"/>
      <c r="L223" s="19">
        <f t="shared" si="2"/>
        <v>94251.72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29646.03</v>
      </c>
      <c r="G224" s="18">
        <v>11400.45</v>
      </c>
      <c r="H224" s="18">
        <v>6758.61</v>
      </c>
      <c r="I224" s="18">
        <v>6580.62</v>
      </c>
      <c r="J224" s="18">
        <v>395.59</v>
      </c>
      <c r="K224" s="18">
        <v>290.61</v>
      </c>
      <c r="L224" s="19">
        <f t="shared" si="2"/>
        <v>55071.909999999996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3651.63</v>
      </c>
      <c r="G225" s="18">
        <v>1562.28</v>
      </c>
      <c r="H225" s="18">
        <v>17239.16</v>
      </c>
      <c r="I225" s="18">
        <v>5204.6099999999997</v>
      </c>
      <c r="J225" s="18"/>
      <c r="K225" s="18"/>
      <c r="L225" s="19">
        <f t="shared" si="2"/>
        <v>27657.68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80539.289999999994</v>
      </c>
      <c r="G226" s="18">
        <v>18414.97</v>
      </c>
      <c r="H226" s="18">
        <v>66470.740000000005</v>
      </c>
      <c r="I226" s="18">
        <v>8128.33</v>
      </c>
      <c r="J226" s="18">
        <v>5678.07</v>
      </c>
      <c r="K226" s="18">
        <v>136.93</v>
      </c>
      <c r="L226" s="19">
        <f t="shared" si="2"/>
        <v>179368.33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1333809.51</v>
      </c>
      <c r="G229" s="41">
        <f>SUM(G215:G228)</f>
        <v>621746.28999999992</v>
      </c>
      <c r="H229" s="41">
        <f>SUM(H215:H228)</f>
        <v>302430.08000000002</v>
      </c>
      <c r="I229" s="41">
        <f>SUM(I215:I228)</f>
        <v>40404.21</v>
      </c>
      <c r="J229" s="41">
        <f>SUM(J215:J228)</f>
        <v>9388.57</v>
      </c>
      <c r="K229" s="41">
        <f t="shared" si="3"/>
        <v>3027.17</v>
      </c>
      <c r="L229" s="41">
        <f t="shared" si="3"/>
        <v>2310805.8299999996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0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922597.06</v>
      </c>
      <c r="G233" s="18">
        <v>543715.15</v>
      </c>
      <c r="H233" s="18">
        <v>19970.53</v>
      </c>
      <c r="I233" s="18">
        <v>66633.23</v>
      </c>
      <c r="J233" s="18">
        <v>17125.18</v>
      </c>
      <c r="K233" s="18">
        <v>1819</v>
      </c>
      <c r="L233" s="19">
        <f>SUM(F233:K233)</f>
        <v>1571860.15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282869.2</v>
      </c>
      <c r="G234" s="18">
        <v>153680.22</v>
      </c>
      <c r="H234" s="18">
        <v>530944.68000000005</v>
      </c>
      <c r="I234" s="18">
        <v>756.89</v>
      </c>
      <c r="J234" s="18">
        <v>43.67</v>
      </c>
      <c r="K234" s="18">
        <v>618.41</v>
      </c>
      <c r="L234" s="19">
        <f>SUM(F234:K234)</f>
        <v>968913.07000000018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364557.84</v>
      </c>
      <c r="G235" s="18">
        <v>198958.01</v>
      </c>
      <c r="H235" s="18">
        <v>19854.91</v>
      </c>
      <c r="I235" s="18">
        <v>30620.95</v>
      </c>
      <c r="J235" s="18">
        <v>13515.8</v>
      </c>
      <c r="K235" s="18">
        <v>1982</v>
      </c>
      <c r="L235" s="19">
        <f>SUM(F235:K235)</f>
        <v>629489.51000000013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138228.79</v>
      </c>
      <c r="G236" s="18">
        <v>34747.449999999997</v>
      </c>
      <c r="H236" s="18">
        <v>44477.19</v>
      </c>
      <c r="I236" s="18">
        <v>23398.23</v>
      </c>
      <c r="J236" s="18">
        <v>18796.259999999998</v>
      </c>
      <c r="K236" s="18">
        <v>7263.64</v>
      </c>
      <c r="L236" s="19">
        <f>SUM(F236:K236)</f>
        <v>266911.56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312957.75</v>
      </c>
      <c r="G238" s="18">
        <v>135716.67000000001</v>
      </c>
      <c r="H238" s="18">
        <v>85564.66</v>
      </c>
      <c r="I238" s="18">
        <v>12672.01</v>
      </c>
      <c r="J238" s="18"/>
      <c r="K238" s="18">
        <v>119</v>
      </c>
      <c r="L238" s="19">
        <f t="shared" ref="L238:L244" si="4">SUM(F238:K238)</f>
        <v>547030.09000000008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191451.95</v>
      </c>
      <c r="G239" s="18">
        <v>93842.19</v>
      </c>
      <c r="H239" s="18">
        <v>90443.74</v>
      </c>
      <c r="I239" s="18">
        <v>34368.42</v>
      </c>
      <c r="J239" s="18">
        <v>216303.84</v>
      </c>
      <c r="K239" s="18">
        <v>9764.56</v>
      </c>
      <c r="L239" s="19">
        <f t="shared" si="4"/>
        <v>636174.70000000007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150680.75</v>
      </c>
      <c r="G240" s="18">
        <v>58700.58</v>
      </c>
      <c r="H240" s="18">
        <v>30312.23</v>
      </c>
      <c r="I240" s="18">
        <v>1997.84</v>
      </c>
      <c r="J240" s="18">
        <v>337.31</v>
      </c>
      <c r="K240" s="18">
        <v>5748.52</v>
      </c>
      <c r="L240" s="19">
        <f t="shared" si="4"/>
        <v>247777.23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254469.64</v>
      </c>
      <c r="G241" s="18">
        <v>114370.11</v>
      </c>
      <c r="H241" s="18">
        <v>8473.7900000000009</v>
      </c>
      <c r="I241" s="18">
        <v>10072.620000000001</v>
      </c>
      <c r="J241" s="18">
        <v>197.99</v>
      </c>
      <c r="K241" s="18">
        <v>12630.88</v>
      </c>
      <c r="L241" s="19">
        <f t="shared" si="4"/>
        <v>400215.02999999997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86958.21</v>
      </c>
      <c r="G242" s="18">
        <v>33439.97</v>
      </c>
      <c r="H242" s="18">
        <v>19824.46</v>
      </c>
      <c r="I242" s="18">
        <v>19302.38</v>
      </c>
      <c r="J242" s="18">
        <v>1160.3599999999999</v>
      </c>
      <c r="K242" s="18">
        <v>852.43</v>
      </c>
      <c r="L242" s="19">
        <f t="shared" si="4"/>
        <v>161537.81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153971.79999999999</v>
      </c>
      <c r="G243" s="18">
        <v>92189.11</v>
      </c>
      <c r="H243" s="18">
        <v>349244.46</v>
      </c>
      <c r="I243" s="18">
        <v>187447.17</v>
      </c>
      <c r="J243" s="18">
        <v>37269.39</v>
      </c>
      <c r="K243" s="18"/>
      <c r="L243" s="19">
        <f t="shared" si="4"/>
        <v>820121.93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137089.78</v>
      </c>
      <c r="G244" s="18">
        <v>30198.77</v>
      </c>
      <c r="H244" s="18">
        <v>97696.94</v>
      </c>
      <c r="I244" s="18">
        <v>12534.39</v>
      </c>
      <c r="J244" s="18">
        <v>8746.7900000000009</v>
      </c>
      <c r="K244" s="18">
        <v>210.94</v>
      </c>
      <c r="L244" s="19">
        <f t="shared" si="4"/>
        <v>286477.61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2995832.77</v>
      </c>
      <c r="G247" s="41">
        <f t="shared" si="5"/>
        <v>1489558.2300000002</v>
      </c>
      <c r="H247" s="41">
        <f t="shared" si="5"/>
        <v>1296807.5900000001</v>
      </c>
      <c r="I247" s="41">
        <f t="shared" si="5"/>
        <v>399804.13</v>
      </c>
      <c r="J247" s="41">
        <f t="shared" si="5"/>
        <v>313496.58999999997</v>
      </c>
      <c r="K247" s="41">
        <f t="shared" si="5"/>
        <v>41009.380000000005</v>
      </c>
      <c r="L247" s="41">
        <f t="shared" si="5"/>
        <v>6536508.6900000013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7452640.4199999999</v>
      </c>
      <c r="G257" s="41">
        <f t="shared" si="8"/>
        <v>3576857.0700000003</v>
      </c>
      <c r="H257" s="41">
        <f t="shared" si="8"/>
        <v>2570723.84</v>
      </c>
      <c r="I257" s="41">
        <f t="shared" si="8"/>
        <v>644277.56000000006</v>
      </c>
      <c r="J257" s="41">
        <f t="shared" si="8"/>
        <v>404045.43</v>
      </c>
      <c r="K257" s="41">
        <f t="shared" si="8"/>
        <v>58622.380000000005</v>
      </c>
      <c r="L257" s="41">
        <f t="shared" si="8"/>
        <v>14707166.700000001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510000</v>
      </c>
      <c r="L260" s="19">
        <f>SUM(F260:K260)</f>
        <v>510000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281150</v>
      </c>
      <c r="L261" s="19">
        <f>SUM(F261:K261)</f>
        <v>281150</v>
      </c>
      <c r="N261" s="268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8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2184.4499999999998</v>
      </c>
      <c r="L263" s="19">
        <f>SUM(F263:K263)</f>
        <v>2184.4499999999998</v>
      </c>
      <c r="N263" s="268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8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68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8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8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8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793334.45</v>
      </c>
      <c r="L270" s="41">
        <f t="shared" si="9"/>
        <v>793334.45</v>
      </c>
      <c r="N270" s="268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7452640.4199999999</v>
      </c>
      <c r="G271" s="42">
        <f t="shared" si="11"/>
        <v>3576857.0700000003</v>
      </c>
      <c r="H271" s="42">
        <f t="shared" si="11"/>
        <v>2570723.84</v>
      </c>
      <c r="I271" s="42">
        <f t="shared" si="11"/>
        <v>644277.56000000006</v>
      </c>
      <c r="J271" s="42">
        <f t="shared" si="11"/>
        <v>404045.43</v>
      </c>
      <c r="K271" s="42">
        <f t="shared" si="11"/>
        <v>851956.83</v>
      </c>
      <c r="L271" s="42">
        <f t="shared" si="11"/>
        <v>15500501.15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220255.76</v>
      </c>
      <c r="G276" s="18">
        <v>94724.77</v>
      </c>
      <c r="H276" s="18">
        <v>80586.559999999998</v>
      </c>
      <c r="I276" s="18">
        <v>42551.94</v>
      </c>
      <c r="J276" s="18">
        <v>4399.0200000000004</v>
      </c>
      <c r="K276" s="18"/>
      <c r="L276" s="19">
        <f>SUM(F276:K276)</f>
        <v>442518.05000000005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96566</v>
      </c>
      <c r="G277" s="18">
        <v>49723.25</v>
      </c>
      <c r="H277" s="18">
        <v>60295.32</v>
      </c>
      <c r="I277" s="18">
        <v>1040.7</v>
      </c>
      <c r="J277" s="18"/>
      <c r="K277" s="18"/>
      <c r="L277" s="19">
        <f>SUM(F277:K277)</f>
        <v>207625.27000000002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2749</v>
      </c>
      <c r="I281" s="18"/>
      <c r="J281" s="18">
        <v>14720</v>
      </c>
      <c r="K281" s="18"/>
      <c r="L281" s="19">
        <f t="shared" ref="L281:L287" si="12">SUM(F281:K281)</f>
        <v>17469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78459</v>
      </c>
      <c r="G282" s="18">
        <v>38273.78</v>
      </c>
      <c r="H282" s="18">
        <v>74615.19</v>
      </c>
      <c r="I282" s="18">
        <v>62920.39</v>
      </c>
      <c r="J282" s="18">
        <v>140460</v>
      </c>
      <c r="K282" s="18">
        <v>18779.36</v>
      </c>
      <c r="L282" s="19">
        <f t="shared" si="12"/>
        <v>413507.72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2000</v>
      </c>
      <c r="G283" s="18">
        <v>153</v>
      </c>
      <c r="H283" s="18">
        <v>46374.42</v>
      </c>
      <c r="I283" s="18"/>
      <c r="J283" s="18"/>
      <c r="K283" s="18"/>
      <c r="L283" s="19">
        <f t="shared" si="12"/>
        <v>48527.42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2641.92</v>
      </c>
      <c r="I287" s="18"/>
      <c r="J287" s="18"/>
      <c r="K287" s="18"/>
      <c r="L287" s="19">
        <f t="shared" si="12"/>
        <v>2641.92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397280.76</v>
      </c>
      <c r="G290" s="42">
        <f t="shared" si="13"/>
        <v>182874.80000000002</v>
      </c>
      <c r="H290" s="42">
        <f t="shared" si="13"/>
        <v>267262.40999999997</v>
      </c>
      <c r="I290" s="42">
        <f t="shared" si="13"/>
        <v>106513.03</v>
      </c>
      <c r="J290" s="42">
        <f t="shared" si="13"/>
        <v>159579.01999999999</v>
      </c>
      <c r="K290" s="42">
        <f t="shared" si="13"/>
        <v>18779.36</v>
      </c>
      <c r="L290" s="41">
        <f t="shared" si="13"/>
        <v>1132289.3799999999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614.39</v>
      </c>
      <c r="J295" s="18"/>
      <c r="K295" s="18"/>
      <c r="L295" s="19">
        <f>SUM(F295:K295)</f>
        <v>614.39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>
        <v>260.5</v>
      </c>
      <c r="I296" s="18">
        <v>244.71</v>
      </c>
      <c r="J296" s="18">
        <v>570</v>
      </c>
      <c r="K296" s="18"/>
      <c r="L296" s="19">
        <f>SUM(F296:K296)</f>
        <v>1075.21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>
        <v>59429</v>
      </c>
      <c r="K301" s="18"/>
      <c r="L301" s="19">
        <f t="shared" si="14"/>
        <v>59429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260.5</v>
      </c>
      <c r="I309" s="42">
        <f t="shared" si="15"/>
        <v>859.1</v>
      </c>
      <c r="J309" s="42">
        <f t="shared" si="15"/>
        <v>59999</v>
      </c>
      <c r="K309" s="42">
        <f t="shared" si="15"/>
        <v>0</v>
      </c>
      <c r="L309" s="41">
        <f t="shared" si="15"/>
        <v>61118.6</v>
      </c>
      <c r="N309" s="268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7174.94</v>
      </c>
      <c r="G314" s="18">
        <v>587.95000000000005</v>
      </c>
      <c r="H314" s="18">
        <v>600.76</v>
      </c>
      <c r="I314" s="18">
        <v>1322.91</v>
      </c>
      <c r="J314" s="18"/>
      <c r="K314" s="18"/>
      <c r="L314" s="19">
        <f>SUM(F314:K314)</f>
        <v>9686.56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3900</v>
      </c>
      <c r="G316" s="18">
        <v>855.64</v>
      </c>
      <c r="H316" s="18">
        <v>9057.2000000000007</v>
      </c>
      <c r="I316" s="18">
        <v>11590.81</v>
      </c>
      <c r="J316" s="18">
        <v>24818.38</v>
      </c>
      <c r="K316" s="18"/>
      <c r="L316" s="19">
        <f>SUM(F316:K316)</f>
        <v>50222.03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16342.86</v>
      </c>
      <c r="G319" s="18">
        <v>11354.12</v>
      </c>
      <c r="H319" s="18">
        <v>8366.8799999999992</v>
      </c>
      <c r="I319" s="18">
        <v>2864.25</v>
      </c>
      <c r="J319" s="18"/>
      <c r="K319" s="18"/>
      <c r="L319" s="19">
        <f t="shared" ref="L319:L325" si="16">SUM(F319:K319)</f>
        <v>38928.11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3199.34</v>
      </c>
      <c r="I320" s="18"/>
      <c r="J320" s="18">
        <v>113766</v>
      </c>
      <c r="K320" s="18">
        <v>1115.3399999999999</v>
      </c>
      <c r="L320" s="19">
        <f t="shared" si="16"/>
        <v>118080.68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>
        <v>1323.56</v>
      </c>
      <c r="I322" s="18"/>
      <c r="J322" s="18"/>
      <c r="K322" s="18"/>
      <c r="L322" s="19">
        <f t="shared" si="16"/>
        <v>1323.56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27417.8</v>
      </c>
      <c r="G328" s="42">
        <f t="shared" si="17"/>
        <v>12797.710000000001</v>
      </c>
      <c r="H328" s="42">
        <f t="shared" si="17"/>
        <v>22547.74</v>
      </c>
      <c r="I328" s="42">
        <f t="shared" si="17"/>
        <v>15777.97</v>
      </c>
      <c r="J328" s="42">
        <f t="shared" si="17"/>
        <v>138584.38</v>
      </c>
      <c r="K328" s="42">
        <f t="shared" si="17"/>
        <v>1115.3399999999999</v>
      </c>
      <c r="L328" s="41">
        <f t="shared" si="17"/>
        <v>218240.94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424698.56</v>
      </c>
      <c r="G338" s="41">
        <f t="shared" si="20"/>
        <v>195672.51</v>
      </c>
      <c r="H338" s="41">
        <f t="shared" si="20"/>
        <v>290070.64999999997</v>
      </c>
      <c r="I338" s="41">
        <f t="shared" si="20"/>
        <v>123150.1</v>
      </c>
      <c r="J338" s="41">
        <f t="shared" si="20"/>
        <v>358162.4</v>
      </c>
      <c r="K338" s="41">
        <f t="shared" si="20"/>
        <v>19894.7</v>
      </c>
      <c r="L338" s="41">
        <f t="shared" si="20"/>
        <v>1411648.92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1000</v>
      </c>
      <c r="L344" s="19">
        <f t="shared" ref="L344:L350" si="21">SUM(F344:K344)</f>
        <v>1000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1000</v>
      </c>
      <c r="L351" s="41">
        <f>SUM(L341:L350)</f>
        <v>1000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424698.56</v>
      </c>
      <c r="G352" s="41">
        <f>G338</f>
        <v>195672.51</v>
      </c>
      <c r="H352" s="41">
        <f>H338</f>
        <v>290070.64999999997</v>
      </c>
      <c r="I352" s="41">
        <f>I338</f>
        <v>123150.1</v>
      </c>
      <c r="J352" s="41">
        <f>J338</f>
        <v>358162.4</v>
      </c>
      <c r="K352" s="47">
        <f>K338+K351</f>
        <v>20894.7</v>
      </c>
      <c r="L352" s="41">
        <f>L338+L351</f>
        <v>1412648.92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174561.12</v>
      </c>
      <c r="I358" s="18">
        <v>1869.12</v>
      </c>
      <c r="J358" s="18"/>
      <c r="K358" s="18"/>
      <c r="L358" s="13">
        <f>SUM(F358:K358)</f>
        <v>176430.24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92599.84</v>
      </c>
      <c r="I359" s="18">
        <v>259.81</v>
      </c>
      <c r="J359" s="18"/>
      <c r="K359" s="18"/>
      <c r="L359" s="19">
        <f>SUM(F359:K359)</f>
        <v>92859.65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142645.4</v>
      </c>
      <c r="I360" s="18">
        <v>400.23</v>
      </c>
      <c r="J360" s="18"/>
      <c r="K360" s="18"/>
      <c r="L360" s="19">
        <f>SUM(F360:K360)</f>
        <v>143045.63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409806.36</v>
      </c>
      <c r="I362" s="47">
        <f t="shared" si="22"/>
        <v>2529.16</v>
      </c>
      <c r="J362" s="47">
        <f t="shared" si="22"/>
        <v>0</v>
      </c>
      <c r="K362" s="47">
        <f t="shared" si="22"/>
        <v>0</v>
      </c>
      <c r="L362" s="47">
        <f t="shared" si="22"/>
        <v>412335.52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1869.12</v>
      </c>
      <c r="G368" s="63">
        <v>259.81</v>
      </c>
      <c r="H368" s="63">
        <v>400.23</v>
      </c>
      <c r="I368" s="56">
        <f>SUM(F368:H368)</f>
        <v>2529.16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1869.12</v>
      </c>
      <c r="G369" s="47">
        <f>SUM(G367:G368)</f>
        <v>259.81</v>
      </c>
      <c r="H369" s="47">
        <f>SUM(H367:H368)</f>
        <v>400.23</v>
      </c>
      <c r="I369" s="47">
        <f>SUM(I367:I368)</f>
        <v>2529.16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0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86.18</v>
      </c>
      <c r="I389" s="18"/>
      <c r="J389" s="24" t="s">
        <v>288</v>
      </c>
      <c r="K389" s="24" t="s">
        <v>288</v>
      </c>
      <c r="L389" s="56">
        <f t="shared" si="25"/>
        <v>86.18</v>
      </c>
      <c r="M389" s="8"/>
      <c r="N389" s="270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>
        <v>393.21</v>
      </c>
      <c r="I390" s="18"/>
      <c r="J390" s="24" t="s">
        <v>288</v>
      </c>
      <c r="K390" s="24" t="s">
        <v>288</v>
      </c>
      <c r="L390" s="56">
        <f t="shared" si="25"/>
        <v>393.21</v>
      </c>
      <c r="M390" s="8"/>
      <c r="N390" s="270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>
        <v>60.35</v>
      </c>
      <c r="I391" s="18"/>
      <c r="J391" s="24" t="s">
        <v>288</v>
      </c>
      <c r="K391" s="24" t="s">
        <v>288</v>
      </c>
      <c r="L391" s="56">
        <f t="shared" si="25"/>
        <v>60.35</v>
      </c>
      <c r="M391" s="8"/>
      <c r="N391" s="270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136.66999999999999</v>
      </c>
      <c r="I392" s="18"/>
      <c r="J392" s="24" t="s">
        <v>288</v>
      </c>
      <c r="K392" s="24" t="s">
        <v>288</v>
      </c>
      <c r="L392" s="56">
        <f t="shared" si="25"/>
        <v>136.66999999999999</v>
      </c>
      <c r="M392" s="8"/>
      <c r="N392" s="270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676.41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676.41</v>
      </c>
      <c r="M393" s="8"/>
      <c r="N393" s="270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255.49</v>
      </c>
      <c r="I397" s="18"/>
      <c r="J397" s="24" t="s">
        <v>288</v>
      </c>
      <c r="K397" s="24" t="s">
        <v>288</v>
      </c>
      <c r="L397" s="56">
        <f t="shared" si="26"/>
        <v>255.49</v>
      </c>
      <c r="M397" s="8"/>
      <c r="N397" s="270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255.49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255.49</v>
      </c>
      <c r="M401" s="8"/>
      <c r="N401" s="270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931.9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931.9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8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303678.62</v>
      </c>
      <c r="G439" s="18"/>
      <c r="H439" s="18"/>
      <c r="I439" s="56">
        <f t="shared" ref="I439:I445" si="33">SUM(F439:H439)</f>
        <v>303678.62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100000</v>
      </c>
      <c r="G441" s="18"/>
      <c r="H441" s="18"/>
      <c r="I441" s="56">
        <f t="shared" si="33"/>
        <v>100000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403678.62</v>
      </c>
      <c r="G446" s="13">
        <f>SUM(G439:G445)</f>
        <v>0</v>
      </c>
      <c r="H446" s="13">
        <f>SUM(H439:H445)</f>
        <v>0</v>
      </c>
      <c r="I446" s="13">
        <f>SUM(I439:I445)</f>
        <v>403678.62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403678.62</v>
      </c>
      <c r="G459" s="18"/>
      <c r="H459" s="18"/>
      <c r="I459" s="56">
        <f t="shared" si="34"/>
        <v>403678.62</v>
      </c>
      <c r="J459" s="24" t="s">
        <v>288</v>
      </c>
      <c r="K459" s="24" t="s">
        <v>288</v>
      </c>
      <c r="L459" s="24" t="s">
        <v>288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403678.62</v>
      </c>
      <c r="G460" s="83">
        <f>SUM(G454:G459)</f>
        <v>0</v>
      </c>
      <c r="H460" s="83">
        <f>SUM(H454:H459)</f>
        <v>0</v>
      </c>
      <c r="I460" s="83">
        <f>SUM(I454:I459)</f>
        <v>403678.62</v>
      </c>
      <c r="J460" s="24" t="s">
        <v>288</v>
      </c>
      <c r="K460" s="24" t="s">
        <v>288</v>
      </c>
      <c r="L460" s="24" t="s">
        <v>288</v>
      </c>
      <c r="N460" s="269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403678.62</v>
      </c>
      <c r="G461" s="42">
        <f>G452+G460</f>
        <v>0</v>
      </c>
      <c r="H461" s="42">
        <f>H452+H460</f>
        <v>0</v>
      </c>
      <c r="I461" s="42">
        <f>I452+I460</f>
        <v>403678.62</v>
      </c>
      <c r="J461" s="24" t="s">
        <v>288</v>
      </c>
      <c r="K461" s="24" t="s">
        <v>288</v>
      </c>
      <c r="L461" s="24" t="s">
        <v>288</v>
      </c>
      <c r="N461" s="269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69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9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896330.9</v>
      </c>
      <c r="G465" s="18">
        <v>1500</v>
      </c>
      <c r="H465" s="18"/>
      <c r="I465" s="18"/>
      <c r="J465" s="18"/>
      <c r="K465" s="24" t="s">
        <v>288</v>
      </c>
      <c r="L465" s="24" t="s">
        <v>288</v>
      </c>
      <c r="N465" s="269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69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69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15354799.369999999</v>
      </c>
      <c r="G468" s="18">
        <v>412335.52</v>
      </c>
      <c r="H468" s="18">
        <f>394334.15+1018314.77</f>
        <v>1412648.92</v>
      </c>
      <c r="I468" s="18"/>
      <c r="J468" s="18">
        <v>931.9</v>
      </c>
      <c r="K468" s="24" t="s">
        <v>288</v>
      </c>
      <c r="L468" s="24" t="s">
        <v>288</v>
      </c>
      <c r="N468" s="269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402746.72</v>
      </c>
      <c r="K469" s="24" t="s">
        <v>288</v>
      </c>
      <c r="L469" s="24" t="s">
        <v>288</v>
      </c>
      <c r="N469" s="269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15354799.369999999</v>
      </c>
      <c r="G470" s="53">
        <f>SUM(G468:G469)</f>
        <v>412335.52</v>
      </c>
      <c r="H470" s="53">
        <f>SUM(H468:H469)</f>
        <v>1412648.92</v>
      </c>
      <c r="I470" s="53">
        <f>SUM(I468:I469)</f>
        <v>0</v>
      </c>
      <c r="J470" s="53">
        <f>SUM(J468:J469)</f>
        <v>403678.62</v>
      </c>
      <c r="K470" s="24" t="s">
        <v>288</v>
      </c>
      <c r="L470" s="24" t="s">
        <v>288</v>
      </c>
      <c r="N470" s="269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69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15500501.15</v>
      </c>
      <c r="G472" s="18">
        <v>412335.52</v>
      </c>
      <c r="H472" s="18">
        <v>1412648.92</v>
      </c>
      <c r="I472" s="18"/>
      <c r="J472" s="18"/>
      <c r="K472" s="24" t="s">
        <v>288</v>
      </c>
      <c r="L472" s="24" t="s">
        <v>288</v>
      </c>
      <c r="N472" s="269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69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15500501.15</v>
      </c>
      <c r="G474" s="53">
        <f>SUM(G472:G473)</f>
        <v>412335.52</v>
      </c>
      <c r="H474" s="53">
        <f>SUM(H472:H473)</f>
        <v>1412648.92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69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69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750629.11999999918</v>
      </c>
      <c r="G476" s="53">
        <f>(G465+G470)- G474</f>
        <v>1500</v>
      </c>
      <c r="H476" s="53">
        <f>(H465+H470)- H474</f>
        <v>0</v>
      </c>
      <c r="I476" s="53">
        <f>(I465+I470)- I474</f>
        <v>0</v>
      </c>
      <c r="J476" s="53">
        <f>(J465+J470)- J474</f>
        <v>403678.62</v>
      </c>
      <c r="K476" s="24" t="s">
        <v>288</v>
      </c>
      <c r="L476" s="24" t="s">
        <v>288</v>
      </c>
      <c r="N476" s="269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9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9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9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69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69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69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9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69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69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9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9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69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69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69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69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69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10156100</v>
      </c>
      <c r="G493" s="18"/>
      <c r="H493" s="18"/>
      <c r="I493" s="18"/>
      <c r="J493" s="18"/>
      <c r="K493" s="24" t="s">
        <v>288</v>
      </c>
      <c r="L493" s="24" t="s">
        <v>288</v>
      </c>
      <c r="N493" s="269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</v>
      </c>
      <c r="G494" s="18"/>
      <c r="H494" s="18"/>
      <c r="I494" s="18"/>
      <c r="J494" s="18"/>
      <c r="K494" s="24" t="s">
        <v>288</v>
      </c>
      <c r="L494" s="24" t="s">
        <v>288</v>
      </c>
      <c r="N494" s="269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6080000</v>
      </c>
      <c r="G495" s="18"/>
      <c r="H495" s="18"/>
      <c r="I495" s="18"/>
      <c r="J495" s="18"/>
      <c r="K495" s="53">
        <f>SUM(F495:J495)</f>
        <v>6080000</v>
      </c>
      <c r="L495" s="24" t="s">
        <v>288</v>
      </c>
      <c r="N495" s="269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69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510000</v>
      </c>
      <c r="G497" s="18"/>
      <c r="H497" s="18"/>
      <c r="I497" s="18"/>
      <c r="J497" s="18"/>
      <c r="K497" s="53">
        <f t="shared" si="35"/>
        <v>510000</v>
      </c>
      <c r="L497" s="24" t="s">
        <v>288</v>
      </c>
      <c r="N497" s="269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5570000</v>
      </c>
      <c r="G498" s="204"/>
      <c r="H498" s="204"/>
      <c r="I498" s="204"/>
      <c r="J498" s="204"/>
      <c r="K498" s="205">
        <f t="shared" si="35"/>
        <v>5570000</v>
      </c>
      <c r="L498" s="206" t="s">
        <v>288</v>
      </c>
      <c r="N498" s="269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1158926</v>
      </c>
      <c r="G499" s="18"/>
      <c r="H499" s="18"/>
      <c r="I499" s="18"/>
      <c r="J499" s="18"/>
      <c r="K499" s="53">
        <f t="shared" si="35"/>
        <v>1158926</v>
      </c>
      <c r="L499" s="24" t="s">
        <v>288</v>
      </c>
      <c r="N499" s="269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6728926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6728926</v>
      </c>
      <c r="L500" s="45" t="s">
        <v>288</v>
      </c>
      <c r="N500" s="269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288</v>
      </c>
      <c r="N501" s="269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255650</v>
      </c>
      <c r="G502" s="18"/>
      <c r="H502" s="18"/>
      <c r="I502" s="18"/>
      <c r="J502" s="18"/>
      <c r="K502" s="53">
        <f t="shared" si="35"/>
        <v>255650</v>
      </c>
      <c r="L502" s="24" t="s">
        <v>288</v>
      </c>
      <c r="N502" s="269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765650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765650</v>
      </c>
      <c r="L503" s="45" t="s">
        <v>288</v>
      </c>
      <c r="N503" s="269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9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9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69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69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9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69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69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69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69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69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69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69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69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9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69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666759.54</v>
      </c>
      <c r="G521" s="18">
        <v>314473.18</v>
      </c>
      <c r="H521" s="18">
        <v>416541.71</v>
      </c>
      <c r="I521" s="18">
        <v>3409.59</v>
      </c>
      <c r="J521" s="18">
        <v>2703.92</v>
      </c>
      <c r="K521" s="18">
        <v>458.33</v>
      </c>
      <c r="L521" s="88">
        <f>SUM(F521:K521)</f>
        <v>1404346.27</v>
      </c>
      <c r="N521" s="269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302103.09999999998</v>
      </c>
      <c r="G522" s="18">
        <v>114861.91</v>
      </c>
      <c r="H522" s="18">
        <v>170802.55</v>
      </c>
      <c r="I522" s="18">
        <v>410.24</v>
      </c>
      <c r="J522" s="18">
        <v>512.38</v>
      </c>
      <c r="K522" s="18">
        <v>458.33</v>
      </c>
      <c r="L522" s="88">
        <f>SUM(F522:K522)</f>
        <v>589148.51</v>
      </c>
      <c r="N522" s="269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282586.59000000003</v>
      </c>
      <c r="G523" s="18">
        <v>157119.82</v>
      </c>
      <c r="H523" s="18">
        <v>528337.46</v>
      </c>
      <c r="I523" s="18">
        <v>971.37</v>
      </c>
      <c r="J523" s="18">
        <v>43.37</v>
      </c>
      <c r="K523" s="18">
        <v>1028.33</v>
      </c>
      <c r="L523" s="88">
        <f>SUM(F523:K523)</f>
        <v>970086.94</v>
      </c>
      <c r="N523" s="269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1251449.23</v>
      </c>
      <c r="G524" s="108">
        <f t="shared" ref="G524:L524" si="36">SUM(G521:G523)</f>
        <v>586454.90999999992</v>
      </c>
      <c r="H524" s="108">
        <f t="shared" si="36"/>
        <v>1115681.72</v>
      </c>
      <c r="I524" s="108">
        <f t="shared" si="36"/>
        <v>4791.2</v>
      </c>
      <c r="J524" s="108">
        <f t="shared" si="36"/>
        <v>3259.67</v>
      </c>
      <c r="K524" s="108">
        <f t="shared" si="36"/>
        <v>1944.9899999999998</v>
      </c>
      <c r="L524" s="89">
        <f t="shared" si="36"/>
        <v>2963581.7199999997</v>
      </c>
      <c r="N524" s="269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69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444919.69</v>
      </c>
      <c r="G526" s="18">
        <v>172827.22</v>
      </c>
      <c r="H526" s="18">
        <v>62162.02</v>
      </c>
      <c r="I526" s="18">
        <v>2228.9299999999998</v>
      </c>
      <c r="J526" s="18"/>
      <c r="K526" s="18"/>
      <c r="L526" s="88">
        <f>SUM(F526:K526)</f>
        <v>682137.8600000001</v>
      </c>
      <c r="M526" s="8"/>
      <c r="N526" s="270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58348.25</v>
      </c>
      <c r="G527" s="18">
        <v>13429.03</v>
      </c>
      <c r="H527" s="18"/>
      <c r="I527" s="18">
        <v>147.19</v>
      </c>
      <c r="J527" s="18"/>
      <c r="K527" s="18"/>
      <c r="L527" s="88">
        <f>SUM(F527:K527)</f>
        <v>71924.47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116611.58</v>
      </c>
      <c r="G528" s="18">
        <v>44926.080000000002</v>
      </c>
      <c r="H528" s="18">
        <v>45415.49</v>
      </c>
      <c r="I528" s="18"/>
      <c r="J528" s="18"/>
      <c r="K528" s="18"/>
      <c r="L528" s="88">
        <f>SUM(F528:K528)</f>
        <v>206953.15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619879.52</v>
      </c>
      <c r="G529" s="89">
        <f t="shared" ref="G529:L529" si="37">SUM(G526:G528)</f>
        <v>231182.33000000002</v>
      </c>
      <c r="H529" s="89">
        <f t="shared" si="37"/>
        <v>107577.51</v>
      </c>
      <c r="I529" s="89">
        <f t="shared" si="37"/>
        <v>2376.12</v>
      </c>
      <c r="J529" s="89">
        <f t="shared" si="37"/>
        <v>0</v>
      </c>
      <c r="K529" s="89">
        <f t="shared" si="37"/>
        <v>0</v>
      </c>
      <c r="L529" s="89">
        <f t="shared" si="37"/>
        <v>961015.4800000001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52934.87</v>
      </c>
      <c r="G531" s="18">
        <v>24883.360000000001</v>
      </c>
      <c r="H531" s="18"/>
      <c r="I531" s="18"/>
      <c r="J531" s="18"/>
      <c r="K531" s="18"/>
      <c r="L531" s="88">
        <f>SUM(F531:K531)</f>
        <v>77818.23000000001</v>
      </c>
      <c r="M531" s="8"/>
      <c r="N531" s="270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28080.49</v>
      </c>
      <c r="G532" s="18">
        <v>13199.94</v>
      </c>
      <c r="H532" s="18"/>
      <c r="I532" s="18"/>
      <c r="J532" s="18"/>
      <c r="K532" s="18"/>
      <c r="L532" s="88">
        <f>SUM(F532:K532)</f>
        <v>41280.43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43256.58</v>
      </c>
      <c r="G533" s="18">
        <v>20333.84</v>
      </c>
      <c r="H533" s="18"/>
      <c r="I533" s="18">
        <v>1792.08</v>
      </c>
      <c r="J533" s="18"/>
      <c r="K533" s="18"/>
      <c r="L533" s="88">
        <f>SUM(F533:K533)</f>
        <v>65382.5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124271.94</v>
      </c>
      <c r="G534" s="89">
        <f t="shared" ref="G534:L534" si="38">SUM(G531:G533)</f>
        <v>58417.14</v>
      </c>
      <c r="H534" s="89">
        <f t="shared" si="38"/>
        <v>0</v>
      </c>
      <c r="I534" s="89">
        <f t="shared" si="38"/>
        <v>1792.08</v>
      </c>
      <c r="J534" s="89">
        <f t="shared" si="38"/>
        <v>0</v>
      </c>
      <c r="K534" s="89">
        <f t="shared" si="38"/>
        <v>0</v>
      </c>
      <c r="L534" s="89">
        <f t="shared" si="38"/>
        <v>184481.16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1583.14</v>
      </c>
      <c r="I536" s="18"/>
      <c r="J536" s="18"/>
      <c r="K536" s="18"/>
      <c r="L536" s="88">
        <f>SUM(F536:K536)</f>
        <v>1583.14</v>
      </c>
      <c r="M536" s="8"/>
      <c r="N536" s="270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1583.14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1583.14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38786.14</v>
      </c>
      <c r="G541" s="18">
        <v>15189.32</v>
      </c>
      <c r="H541" s="18">
        <v>86163.15</v>
      </c>
      <c r="I541" s="18">
        <v>3865.75</v>
      </c>
      <c r="J541" s="18"/>
      <c r="K541" s="18"/>
      <c r="L541" s="88">
        <f>SUM(F541:K541)</f>
        <v>144004.35999999999</v>
      </c>
      <c r="M541" s="8"/>
      <c r="N541" s="270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20574.97</v>
      </c>
      <c r="G542" s="18">
        <v>8057.51</v>
      </c>
      <c r="H542" s="18">
        <v>45707.17</v>
      </c>
      <c r="I542" s="18">
        <v>2050.6799999999998</v>
      </c>
      <c r="J542" s="18"/>
      <c r="K542" s="18"/>
      <c r="L542" s="88">
        <f>SUM(F542:K542)</f>
        <v>76390.329999999987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31694.71</v>
      </c>
      <c r="G543" s="18">
        <v>12412.19</v>
      </c>
      <c r="H543" s="18">
        <v>70409.600000000006</v>
      </c>
      <c r="I543" s="18">
        <v>3158.96</v>
      </c>
      <c r="J543" s="18"/>
      <c r="K543" s="18"/>
      <c r="L543" s="88">
        <f>SUM(F543:K543)</f>
        <v>117675.46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91055.82</v>
      </c>
      <c r="G544" s="193">
        <f t="shared" ref="G544:L544" si="40">SUM(G541:G543)</f>
        <v>35659.020000000004</v>
      </c>
      <c r="H544" s="193">
        <f t="shared" si="40"/>
        <v>202279.92</v>
      </c>
      <c r="I544" s="193">
        <f t="shared" si="40"/>
        <v>9075.39</v>
      </c>
      <c r="J544" s="193">
        <f t="shared" si="40"/>
        <v>0</v>
      </c>
      <c r="K544" s="193">
        <f t="shared" si="40"/>
        <v>0</v>
      </c>
      <c r="L544" s="193">
        <f t="shared" si="40"/>
        <v>338070.14999999997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2086656.51</v>
      </c>
      <c r="G545" s="89">
        <f t="shared" ref="G545:L545" si="41">G524+G529+G534+G539+G544</f>
        <v>911713.4</v>
      </c>
      <c r="H545" s="89">
        <f t="shared" si="41"/>
        <v>1427122.2899999998</v>
      </c>
      <c r="I545" s="89">
        <f t="shared" si="41"/>
        <v>18034.79</v>
      </c>
      <c r="J545" s="89">
        <f t="shared" si="41"/>
        <v>3259.67</v>
      </c>
      <c r="K545" s="89">
        <f t="shared" si="41"/>
        <v>1944.9899999999998</v>
      </c>
      <c r="L545" s="89">
        <f t="shared" si="41"/>
        <v>4448731.6500000004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1404346.27</v>
      </c>
      <c r="G549" s="87">
        <f>L526</f>
        <v>682137.8600000001</v>
      </c>
      <c r="H549" s="87">
        <f>L531</f>
        <v>77818.23000000001</v>
      </c>
      <c r="I549" s="87">
        <f>L536</f>
        <v>1583.14</v>
      </c>
      <c r="J549" s="87">
        <f>L541</f>
        <v>144004.35999999999</v>
      </c>
      <c r="K549" s="87">
        <f>SUM(F549:J549)</f>
        <v>2309889.8600000003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589148.51</v>
      </c>
      <c r="G550" s="87">
        <f>L527</f>
        <v>71924.47</v>
      </c>
      <c r="H550" s="87">
        <f>L532</f>
        <v>41280.43</v>
      </c>
      <c r="I550" s="87">
        <f>L537</f>
        <v>0</v>
      </c>
      <c r="J550" s="87">
        <f>L542</f>
        <v>76390.329999999987</v>
      </c>
      <c r="K550" s="87">
        <f>SUM(F550:J550)</f>
        <v>778743.74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970086.94</v>
      </c>
      <c r="G551" s="87">
        <f>L528</f>
        <v>206953.15</v>
      </c>
      <c r="H551" s="87">
        <f>L533</f>
        <v>65382.5</v>
      </c>
      <c r="I551" s="87">
        <f>L538</f>
        <v>0</v>
      </c>
      <c r="J551" s="87">
        <f>L543</f>
        <v>117675.46</v>
      </c>
      <c r="K551" s="87">
        <f>SUM(F551:J551)</f>
        <v>1360098.0499999998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2963581.7199999997</v>
      </c>
      <c r="G552" s="89">
        <f t="shared" si="42"/>
        <v>961015.4800000001</v>
      </c>
      <c r="H552" s="89">
        <f t="shared" si="42"/>
        <v>184481.16</v>
      </c>
      <c r="I552" s="89">
        <f t="shared" si="42"/>
        <v>1583.14</v>
      </c>
      <c r="J552" s="89">
        <f t="shared" si="42"/>
        <v>338070.14999999997</v>
      </c>
      <c r="K552" s="89">
        <f t="shared" si="42"/>
        <v>4448731.6500000004</v>
      </c>
      <c r="L552" s="24"/>
      <c r="M552" s="8"/>
      <c r="N552" s="270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>
        <v>10895.84</v>
      </c>
      <c r="I562" s="18">
        <v>28.63</v>
      </c>
      <c r="J562" s="18"/>
      <c r="K562" s="18"/>
      <c r="L562" s="88">
        <f>SUM(F562:K562)</f>
        <v>10924.47</v>
      </c>
      <c r="M562" s="8"/>
      <c r="N562" s="270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>
        <v>5779.94</v>
      </c>
      <c r="I563" s="18">
        <v>15.18</v>
      </c>
      <c r="J563" s="18"/>
      <c r="K563" s="18"/>
      <c r="L563" s="88">
        <f>SUM(F563:K563)</f>
        <v>5795.12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>
        <v>8903.7099999999991</v>
      </c>
      <c r="I564" s="18">
        <v>23.39</v>
      </c>
      <c r="J564" s="18"/>
      <c r="K564" s="18"/>
      <c r="L564" s="88">
        <f>SUM(F564:K564)</f>
        <v>8927.0999999999985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25579.489999999998</v>
      </c>
      <c r="I565" s="89">
        <f t="shared" si="44"/>
        <v>67.2</v>
      </c>
      <c r="J565" s="89">
        <f t="shared" si="44"/>
        <v>0</v>
      </c>
      <c r="K565" s="89">
        <f t="shared" si="44"/>
        <v>0</v>
      </c>
      <c r="L565" s="89">
        <f t="shared" si="44"/>
        <v>25646.69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25579.489999999998</v>
      </c>
      <c r="I571" s="89">
        <f t="shared" si="46"/>
        <v>67.2</v>
      </c>
      <c r="J571" s="89">
        <f t="shared" si="46"/>
        <v>0</v>
      </c>
      <c r="K571" s="89">
        <f t="shared" si="46"/>
        <v>0</v>
      </c>
      <c r="L571" s="89">
        <f t="shared" si="46"/>
        <v>25646.69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3550</v>
      </c>
      <c r="I575" s="87">
        <f>SUM(F575:H575)</f>
        <v>3550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5760.95</v>
      </c>
      <c r="G579" s="18">
        <v>6924.04</v>
      </c>
      <c r="H579" s="18">
        <v>84407</v>
      </c>
      <c r="I579" s="87">
        <f t="shared" si="47"/>
        <v>97091.99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337210.64</v>
      </c>
      <c r="G582" s="18">
        <v>145737.25</v>
      </c>
      <c r="H582" s="18">
        <v>410109.78</v>
      </c>
      <c r="I582" s="87">
        <f t="shared" si="47"/>
        <v>893057.67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16514.990000000002</v>
      </c>
      <c r="I584" s="87">
        <f t="shared" si="47"/>
        <v>16514.990000000002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183099.99</v>
      </c>
      <c r="I591" s="18">
        <v>92966.05</v>
      </c>
      <c r="J591" s="18">
        <v>153809.07999999999</v>
      </c>
      <c r="K591" s="104">
        <f t="shared" ref="K591:K597" si="48">SUM(H591:J591)</f>
        <v>429875.12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148594.73000000001</v>
      </c>
      <c r="I592" s="18">
        <v>80377.37</v>
      </c>
      <c r="J592" s="18">
        <v>109098.05</v>
      </c>
      <c r="K592" s="104">
        <f t="shared" si="48"/>
        <v>338070.15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3750.08</v>
      </c>
      <c r="K593" s="104">
        <f t="shared" si="48"/>
        <v>3750.08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2820.96</v>
      </c>
      <c r="J594" s="18">
        <v>18291.400000000001</v>
      </c>
      <c r="K594" s="104">
        <f t="shared" si="48"/>
        <v>21112.36</v>
      </c>
      <c r="L594" s="24" t="s">
        <v>288</v>
      </c>
      <c r="M594" s="8"/>
      <c r="N594" s="270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3629.32</v>
      </c>
      <c r="I595" s="18">
        <v>3203.95</v>
      </c>
      <c r="J595" s="18">
        <v>1292.3599999999999</v>
      </c>
      <c r="K595" s="104">
        <f t="shared" si="48"/>
        <v>8125.63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>
        <v>236.64</v>
      </c>
      <c r="K596" s="104">
        <f t="shared" si="48"/>
        <v>236.64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335324.03999999998</v>
      </c>
      <c r="I598" s="108">
        <f>SUM(I591:I597)</f>
        <v>179368.33</v>
      </c>
      <c r="J598" s="108">
        <f>SUM(J591:J597)</f>
        <v>286477.61000000004</v>
      </c>
      <c r="K598" s="108">
        <f>SUM(K591:K597)</f>
        <v>801169.98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240009.55</v>
      </c>
      <c r="I604" s="18">
        <v>67562.490000000005</v>
      </c>
      <c r="J604" s="18">
        <v>454635.79</v>
      </c>
      <c r="K604" s="104">
        <f>SUM(H604:J604)</f>
        <v>762207.83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240009.55</v>
      </c>
      <c r="I605" s="108">
        <f>SUM(I602:I604)</f>
        <v>67562.490000000005</v>
      </c>
      <c r="J605" s="108">
        <f>SUM(J602:J604)</f>
        <v>454635.79</v>
      </c>
      <c r="K605" s="108">
        <f>SUM(K602:K604)</f>
        <v>762207.83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5142.75</v>
      </c>
      <c r="G611" s="18">
        <v>1558.35</v>
      </c>
      <c r="H611" s="18"/>
      <c r="I611" s="18">
        <v>279.08</v>
      </c>
      <c r="J611" s="18"/>
      <c r="K611" s="18"/>
      <c r="L611" s="88">
        <f>SUM(F611:K611)</f>
        <v>6980.18</v>
      </c>
      <c r="M611" s="8"/>
      <c r="N611" s="270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7747.13</v>
      </c>
      <c r="G612" s="18">
        <v>1160.75</v>
      </c>
      <c r="H612" s="18"/>
      <c r="I612" s="18"/>
      <c r="J612" s="18"/>
      <c r="K612" s="18"/>
      <c r="L612" s="88">
        <f>SUM(F612:K612)</f>
        <v>8907.880000000001</v>
      </c>
      <c r="M612" s="8"/>
      <c r="N612" s="270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17153.25</v>
      </c>
      <c r="G613" s="18">
        <v>3899.98</v>
      </c>
      <c r="H613" s="18"/>
      <c r="I613" s="18"/>
      <c r="J613" s="18"/>
      <c r="K613" s="18"/>
      <c r="L613" s="88">
        <f>SUM(F613:K613)</f>
        <v>21053.23</v>
      </c>
      <c r="M613" s="8"/>
      <c r="N613" s="270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30043.13</v>
      </c>
      <c r="G614" s="108">
        <f t="shared" si="49"/>
        <v>6619.08</v>
      </c>
      <c r="H614" s="108">
        <f t="shared" si="49"/>
        <v>0</v>
      </c>
      <c r="I614" s="108">
        <f t="shared" si="49"/>
        <v>279.08</v>
      </c>
      <c r="J614" s="108">
        <f t="shared" si="49"/>
        <v>0</v>
      </c>
      <c r="K614" s="108">
        <f t="shared" si="49"/>
        <v>0</v>
      </c>
      <c r="L614" s="89">
        <f t="shared" si="49"/>
        <v>36941.29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1363789.82</v>
      </c>
      <c r="H617" s="109">
        <f>SUM(F52)</f>
        <v>1363789.82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17046.760000000002</v>
      </c>
      <c r="H618" s="109">
        <f>SUM(G52)</f>
        <v>17046.760000000002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451751.06000000011</v>
      </c>
      <c r="H619" s="109">
        <f>SUM(H52)</f>
        <v>451751.06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403678.62</v>
      </c>
      <c r="H621" s="109">
        <f>SUM(J52)</f>
        <v>403678.62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750629.12</v>
      </c>
      <c r="H622" s="109">
        <f>F476</f>
        <v>750629.11999999918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1500</v>
      </c>
      <c r="H623" s="109">
        <f>G476</f>
        <v>1500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403678.62</v>
      </c>
      <c r="H626" s="109">
        <f>J476</f>
        <v>403678.62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15354799.370000001</v>
      </c>
      <c r="H627" s="104">
        <f>SUM(F468)</f>
        <v>15354799.369999999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412335.51999999996</v>
      </c>
      <c r="H628" s="104">
        <f>SUM(G468)</f>
        <v>412335.52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1412648.9199999997</v>
      </c>
      <c r="H629" s="104">
        <f>SUM(H468)</f>
        <v>1412648.92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931.9</v>
      </c>
      <c r="H631" s="104">
        <f>SUM(J468)</f>
        <v>931.9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15500501.15</v>
      </c>
      <c r="H632" s="104">
        <f>SUM(F472)</f>
        <v>15500501.15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1412648.92</v>
      </c>
      <c r="H633" s="104">
        <f>SUM(H472)</f>
        <v>1412648.92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2529.16</v>
      </c>
      <c r="H634" s="104">
        <f>I369</f>
        <v>2529.16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412335.52</v>
      </c>
      <c r="H635" s="104">
        <f>SUM(G472)</f>
        <v>412335.52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931.9</v>
      </c>
      <c r="H637" s="164">
        <f>SUM(J468)</f>
        <v>931.9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403678.62</v>
      </c>
      <c r="H639" s="104">
        <f>SUM(F461)</f>
        <v>403678.62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403678.62</v>
      </c>
      <c r="H642" s="104">
        <f>SUM(I461)</f>
        <v>403678.62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931.9</v>
      </c>
      <c r="H644" s="104">
        <f>H408</f>
        <v>931.9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931.9</v>
      </c>
      <c r="H646" s="104">
        <f>L408</f>
        <v>931.9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801169.98</v>
      </c>
      <c r="H647" s="104">
        <f>L208+L226+L244</f>
        <v>801169.98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762207.83</v>
      </c>
      <c r="H648" s="104">
        <f>(J257+J338)-(J255+J336)</f>
        <v>762207.83000000007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335324.04000000004</v>
      </c>
      <c r="H649" s="104">
        <f>H598</f>
        <v>335324.03999999998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179368.33</v>
      </c>
      <c r="H650" s="104">
        <f>I598</f>
        <v>179368.33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286477.61</v>
      </c>
      <c r="H651" s="104">
        <f>J598</f>
        <v>286477.61000000004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2184.4499999999998</v>
      </c>
      <c r="H652" s="104">
        <f>K263+K345</f>
        <v>2184.4499999999998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7168571.8000000007</v>
      </c>
      <c r="G660" s="19">
        <f>(L229+L309+L359)</f>
        <v>2464784.0799999996</v>
      </c>
      <c r="H660" s="19">
        <f>(L247+L328+L360)</f>
        <v>6897795.2600000016</v>
      </c>
      <c r="I660" s="19">
        <f>SUM(F660:H660)</f>
        <v>16531151.140000002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46426.499995040926</v>
      </c>
      <c r="G661" s="19">
        <f>(L359/IF(SUM(L358:L360)=0,1,SUM(L358:L360))*(SUM(G97:G110)))</f>
        <v>24435.428644570806</v>
      </c>
      <c r="H661" s="19">
        <f>(L360/IF(SUM(L358:L360)=0,1,SUM(L358:L360))*(SUM(G97:G110)))</f>
        <v>37641.551360388257</v>
      </c>
      <c r="I661" s="19">
        <f>SUM(F661:H661)</f>
        <v>108503.47999999998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327262.16000000003</v>
      </c>
      <c r="G662" s="19">
        <f>(L226+L306)-(J226+J306)</f>
        <v>173690.25999999998</v>
      </c>
      <c r="H662" s="19">
        <f>(L244+L325)-(J244+J325)</f>
        <v>277730.82</v>
      </c>
      <c r="I662" s="19">
        <f>SUM(F662:H662)</f>
        <v>778683.24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589961.32000000007</v>
      </c>
      <c r="G663" s="199">
        <f>SUM(G575:G587)+SUM(I602:I604)+L612</f>
        <v>229131.66000000003</v>
      </c>
      <c r="H663" s="199">
        <f>SUM(H575:H587)+SUM(J602:J604)+L613</f>
        <v>990270.79</v>
      </c>
      <c r="I663" s="19">
        <f>SUM(F663:H663)</f>
        <v>1809363.77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6204921.8200049596</v>
      </c>
      <c r="G664" s="19">
        <f>G660-SUM(G661:G663)</f>
        <v>2037526.7313554287</v>
      </c>
      <c r="H664" s="19">
        <f>H660-SUM(H661:H663)</f>
        <v>5592152.098639613</v>
      </c>
      <c r="I664" s="19">
        <f>I660-SUM(I661:I663)</f>
        <v>13834600.650000002</v>
      </c>
      <c r="J664" s="13"/>
      <c r="K664" s="13"/>
      <c r="L664" s="13"/>
      <c r="M664" s="9"/>
    </row>
    <row r="665" spans="1:13" s="3" customFormat="1" ht="12" customHeight="1" x14ac:dyDescent="0.15">
      <c r="A665" s="1" t="s">
        <v>131</v>
      </c>
      <c r="F665" s="18">
        <v>427.02</v>
      </c>
      <c r="G665" s="18">
        <v>230.35</v>
      </c>
      <c r="H665" s="18">
        <v>335.1</v>
      </c>
      <c r="I665" s="19">
        <f>SUM(F665:H665)</f>
        <v>992.47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14530.75</v>
      </c>
      <c r="G667" s="19">
        <f>ROUND(G664/G665,2)</f>
        <v>8845.35</v>
      </c>
      <c r="H667" s="19">
        <f>ROUND(H664/H665,2)</f>
        <v>16688.009999999998</v>
      </c>
      <c r="I667" s="19">
        <f>ROUND(I664/I665,2)</f>
        <v>13939.57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3.66</v>
      </c>
      <c r="I670" s="19">
        <f>SUM(F670:H670)</f>
        <v>3.66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14530.75</v>
      </c>
      <c r="G672" s="19">
        <f>ROUND((G664+G669)/(G665+G670),2)</f>
        <v>8845.35</v>
      </c>
      <c r="H672" s="19">
        <f>ROUND((H664+H669)/(H665+H670),2)</f>
        <v>16507.71</v>
      </c>
      <c r="I672" s="19">
        <f>ROUND((I664+I669)/(I665+I670),2)</f>
        <v>13888.35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zoomScale="130" zoomScaleNormal="130" workbookViewId="0">
      <selection activeCell="H11" sqref="H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>
        <f>'DOE25'!A2</f>
        <v>0</v>
      </c>
      <c r="C1" s="238" t="s">
        <v>838</v>
      </c>
    </row>
    <row r="2" spans="1:3" x14ac:dyDescent="0.2">
      <c r="A2" s="233"/>
      <c r="B2" s="232"/>
    </row>
    <row r="3" spans="1:3" x14ac:dyDescent="0.2">
      <c r="A3" s="276" t="s">
        <v>783</v>
      </c>
      <c r="B3" s="276"/>
      <c r="C3" s="276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782</v>
      </c>
      <c r="C6" s="275"/>
    </row>
    <row r="7" spans="1:3" x14ac:dyDescent="0.2">
      <c r="A7" s="239" t="s">
        <v>785</v>
      </c>
      <c r="B7" s="273" t="s">
        <v>781</v>
      </c>
      <c r="C7" s="274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3016289.52</v>
      </c>
      <c r="C9" s="229">
        <f>'DOE25'!G197+'DOE25'!G215+'DOE25'!G233+'DOE25'!G276+'DOE25'!G295+'DOE25'!G314</f>
        <v>1685564.9800000002</v>
      </c>
    </row>
    <row r="10" spans="1:3" x14ac:dyDescent="0.2">
      <c r="A10" t="s">
        <v>778</v>
      </c>
      <c r="B10" s="240">
        <v>2812205.7</v>
      </c>
      <c r="C10" s="240">
        <v>1571518.72</v>
      </c>
    </row>
    <row r="11" spans="1:3" x14ac:dyDescent="0.2">
      <c r="A11" t="s">
        <v>779</v>
      </c>
      <c r="B11" s="240">
        <v>72698.11</v>
      </c>
      <c r="C11" s="240">
        <v>40625.21</v>
      </c>
    </row>
    <row r="12" spans="1:3" x14ac:dyDescent="0.2">
      <c r="A12" t="s">
        <v>780</v>
      </c>
      <c r="B12" s="240">
        <v>131385.71</v>
      </c>
      <c r="C12" s="240">
        <v>73421.05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3016289.52</v>
      </c>
      <c r="C13" s="231">
        <f>SUM(C10:C12)</f>
        <v>1685564.98</v>
      </c>
    </row>
    <row r="14" spans="1:3" x14ac:dyDescent="0.2">
      <c r="B14" s="230"/>
      <c r="C14" s="230"/>
    </row>
    <row r="15" spans="1:3" x14ac:dyDescent="0.2">
      <c r="B15" s="275" t="s">
        <v>782</v>
      </c>
      <c r="C15" s="275"/>
    </row>
    <row r="16" spans="1:3" x14ac:dyDescent="0.2">
      <c r="A16" s="239" t="s">
        <v>786</v>
      </c>
      <c r="B16" s="273" t="s">
        <v>706</v>
      </c>
      <c r="C16" s="274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1315992.02</v>
      </c>
      <c r="C18" s="229">
        <f>'DOE25'!G198+'DOE25'!G216+'DOE25'!G234+'DOE25'!G277+'DOE25'!G296+'DOE25'!G315</f>
        <v>603874.15</v>
      </c>
    </row>
    <row r="19" spans="1:3" x14ac:dyDescent="0.2">
      <c r="A19" t="s">
        <v>778</v>
      </c>
      <c r="B19" s="240">
        <v>652904.24</v>
      </c>
      <c r="C19" s="240">
        <v>299600.59999999998</v>
      </c>
    </row>
    <row r="20" spans="1:3" x14ac:dyDescent="0.2">
      <c r="A20" t="s">
        <v>779</v>
      </c>
      <c r="B20" s="240">
        <v>637869.17000000004</v>
      </c>
      <c r="C20" s="240">
        <v>292701.40000000002</v>
      </c>
    </row>
    <row r="21" spans="1:3" x14ac:dyDescent="0.2">
      <c r="A21" t="s">
        <v>780</v>
      </c>
      <c r="B21" s="240">
        <v>25218.61</v>
      </c>
      <c r="C21" s="240">
        <v>11572.15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1315992.0200000003</v>
      </c>
      <c r="C22" s="231">
        <f>SUM(C19:C21)</f>
        <v>603874.15</v>
      </c>
    </row>
    <row r="23" spans="1:3" x14ac:dyDescent="0.2">
      <c r="B23" s="230"/>
      <c r="C23" s="230"/>
    </row>
    <row r="24" spans="1:3" x14ac:dyDescent="0.2">
      <c r="B24" s="275" t="s">
        <v>782</v>
      </c>
      <c r="C24" s="275"/>
    </row>
    <row r="25" spans="1:3" x14ac:dyDescent="0.2">
      <c r="A25" s="239" t="s">
        <v>787</v>
      </c>
      <c r="B25" s="273" t="s">
        <v>707</v>
      </c>
      <c r="C25" s="274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368457.84</v>
      </c>
      <c r="C27" s="234">
        <f>'DOE25'!G199+'DOE25'!G217+'DOE25'!G235+'DOE25'!G278+'DOE25'!G297+'DOE25'!G316</f>
        <v>199813.65000000002</v>
      </c>
    </row>
    <row r="28" spans="1:3" x14ac:dyDescent="0.2">
      <c r="A28" t="s">
        <v>778</v>
      </c>
      <c r="B28" s="240">
        <v>367557.84</v>
      </c>
      <c r="C28" s="240">
        <v>199325.58</v>
      </c>
    </row>
    <row r="29" spans="1:3" x14ac:dyDescent="0.2">
      <c r="A29" t="s">
        <v>779</v>
      </c>
      <c r="B29" s="240">
        <v>900</v>
      </c>
      <c r="C29" s="240">
        <v>488.07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368457.84</v>
      </c>
      <c r="C31" s="231">
        <f>SUM(C28:C30)</f>
        <v>199813.65</v>
      </c>
    </row>
    <row r="33" spans="1:3" x14ac:dyDescent="0.2">
      <c r="B33" s="275" t="s">
        <v>782</v>
      </c>
      <c r="C33" s="275"/>
    </row>
    <row r="34" spans="1:3" x14ac:dyDescent="0.2">
      <c r="A34" s="239" t="s">
        <v>788</v>
      </c>
      <c r="B34" s="273" t="s">
        <v>708</v>
      </c>
      <c r="C34" s="274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166268.11000000002</v>
      </c>
      <c r="C36" s="235">
        <f>'DOE25'!G200+'DOE25'!G218+'DOE25'!G236+'DOE25'!G279+'DOE25'!G298+'DOE25'!G317</f>
        <v>39130.189999999995</v>
      </c>
    </row>
    <row r="37" spans="1:3" x14ac:dyDescent="0.2">
      <c r="A37" t="s">
        <v>778</v>
      </c>
      <c r="B37" s="240">
        <v>80454.12</v>
      </c>
      <c r="C37" s="240">
        <v>18935.099999999999</v>
      </c>
    </row>
    <row r="38" spans="1:3" x14ac:dyDescent="0.2">
      <c r="A38" t="s">
        <v>779</v>
      </c>
      <c r="B38" s="240">
        <v>4571.25</v>
      </c>
      <c r="C38" s="240">
        <v>1076.08</v>
      </c>
    </row>
    <row r="39" spans="1:3" x14ac:dyDescent="0.2">
      <c r="A39" t="s">
        <v>780</v>
      </c>
      <c r="B39" s="240">
        <v>81242.740000000005</v>
      </c>
      <c r="C39" s="240">
        <v>19119.009999999998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166268.10999999999</v>
      </c>
      <c r="C40" s="231">
        <f>SUM(C37:C39)</f>
        <v>39130.19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2" t="s">
        <v>777</v>
      </c>
    </row>
    <row r="49" spans="1:1" x14ac:dyDescent="0.2">
      <c r="A49" s="266" t="s">
        <v>843</v>
      </c>
    </row>
    <row r="50" spans="1:1" x14ac:dyDescent="0.2">
      <c r="A50" s="266" t="s">
        <v>837</v>
      </c>
    </row>
    <row r="51" spans="1:1" x14ac:dyDescent="0.2">
      <c r="A51" s="266" t="s">
        <v>844</v>
      </c>
    </row>
    <row r="52" spans="1:1" x14ac:dyDescent="0.2">
      <c r="A52" s="267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20" zoomScaleNormal="120" workbookViewId="0">
      <pane ySplit="4" topLeftCell="A5" activePane="bottomLeft" state="frozen"/>
      <selection activeCell="F46" sqref="F46"/>
      <selection pane="bottomLeft" activeCell="F36" sqref="F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789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716</v>
      </c>
      <c r="B2" s="263">
        <f>'DOE25'!A2</f>
        <v>0</v>
      </c>
      <c r="C2" s="181"/>
      <c r="D2" s="181" t="s">
        <v>791</v>
      </c>
      <c r="E2" s="181" t="s">
        <v>793</v>
      </c>
      <c r="F2" s="277" t="s">
        <v>820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49" t="s">
        <v>799</v>
      </c>
      <c r="B4" s="249" t="s">
        <v>815</v>
      </c>
      <c r="C4" s="249" t="s">
        <v>790</v>
      </c>
      <c r="D4" s="249" t="s">
        <v>816</v>
      </c>
      <c r="E4" s="249" t="s">
        <v>816</v>
      </c>
      <c r="F4" s="248" t="s">
        <v>796</v>
      </c>
      <c r="G4" s="249" t="s">
        <v>810</v>
      </c>
      <c r="H4" s="250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8344283.9299999997</v>
      </c>
      <c r="D5" s="20">
        <f>SUM('DOE25'!L197:L200)+SUM('DOE25'!L215:L218)+SUM('DOE25'!L233:L236)-F5-G5</f>
        <v>8272666.0999999996</v>
      </c>
      <c r="E5" s="243"/>
      <c r="F5" s="253">
        <f>SUM('DOE25'!J197:J200)+SUM('DOE25'!J215:J218)+SUM('DOE25'!J233:J236)</f>
        <v>58749.179999999993</v>
      </c>
      <c r="G5" s="53">
        <f>SUM('DOE25'!K197:K200)+SUM('DOE25'!K215:K218)+SUM('DOE25'!K233:K236)</f>
        <v>12868.65</v>
      </c>
      <c r="H5" s="257"/>
    </row>
    <row r="6" spans="1:9" x14ac:dyDescent="0.2">
      <c r="A6" s="32">
        <v>2100</v>
      </c>
      <c r="B6" t="s">
        <v>800</v>
      </c>
      <c r="C6" s="245">
        <f t="shared" si="0"/>
        <v>1488645.8800000001</v>
      </c>
      <c r="D6" s="20">
        <f>'DOE25'!L202+'DOE25'!L220+'DOE25'!L238-F6-G6</f>
        <v>1488526.8800000001</v>
      </c>
      <c r="E6" s="243"/>
      <c r="F6" s="253">
        <f>'DOE25'!J202+'DOE25'!J220+'DOE25'!J238</f>
        <v>0</v>
      </c>
      <c r="G6" s="53">
        <f>'DOE25'!K202+'DOE25'!K220+'DOE25'!K238</f>
        <v>119</v>
      </c>
      <c r="H6" s="257"/>
    </row>
    <row r="7" spans="1:9" x14ac:dyDescent="0.2">
      <c r="A7" s="32">
        <v>2200</v>
      </c>
      <c r="B7" t="s">
        <v>833</v>
      </c>
      <c r="C7" s="245">
        <f t="shared" si="0"/>
        <v>1042748</v>
      </c>
      <c r="D7" s="20">
        <f>'DOE25'!L203+'DOE25'!L221+'DOE25'!L239-F7-G7</f>
        <v>748081.53</v>
      </c>
      <c r="E7" s="243"/>
      <c r="F7" s="253">
        <f>'DOE25'!J203+'DOE25'!J221+'DOE25'!J239</f>
        <v>278972.21000000002</v>
      </c>
      <c r="G7" s="53">
        <f>'DOE25'!K203+'DOE25'!K221+'DOE25'!K239</f>
        <v>15694.259999999998</v>
      </c>
      <c r="H7" s="257"/>
    </row>
    <row r="8" spans="1:9" x14ac:dyDescent="0.2">
      <c r="A8" s="32">
        <v>2300</v>
      </c>
      <c r="B8" t="s">
        <v>801</v>
      </c>
      <c r="C8" s="245">
        <f t="shared" si="0"/>
        <v>217752.43000000005</v>
      </c>
      <c r="D8" s="243"/>
      <c r="E8" s="20">
        <f>'DOE25'!L204+'DOE25'!L222+'DOE25'!L240-F8-G8-D9-D11</f>
        <v>204220.85000000003</v>
      </c>
      <c r="F8" s="253">
        <f>'DOE25'!J204+'DOE25'!J222+'DOE25'!J240</f>
        <v>750</v>
      </c>
      <c r="G8" s="53">
        <f>'DOE25'!K204+'DOE25'!K222+'DOE25'!K240</f>
        <v>12781.580000000002</v>
      </c>
      <c r="H8" s="257"/>
    </row>
    <row r="9" spans="1:9" x14ac:dyDescent="0.2">
      <c r="A9" s="32">
        <v>2310</v>
      </c>
      <c r="B9" t="s">
        <v>817</v>
      </c>
      <c r="C9" s="245">
        <f t="shared" si="0"/>
        <v>90764.64</v>
      </c>
      <c r="D9" s="244">
        <v>90764.64</v>
      </c>
      <c r="E9" s="243"/>
      <c r="F9" s="256"/>
      <c r="G9" s="254"/>
      <c r="H9" s="257"/>
    </row>
    <row r="10" spans="1:9" x14ac:dyDescent="0.2">
      <c r="A10" s="32">
        <v>2317</v>
      </c>
      <c r="B10" t="s">
        <v>818</v>
      </c>
      <c r="C10" s="245">
        <f t="shared" si="0"/>
        <v>19175</v>
      </c>
      <c r="D10" s="243"/>
      <c r="E10" s="244">
        <v>19175</v>
      </c>
      <c r="F10" s="256"/>
      <c r="G10" s="254"/>
      <c r="H10" s="257"/>
    </row>
    <row r="11" spans="1:9" x14ac:dyDescent="0.2">
      <c r="A11" s="32">
        <v>2321</v>
      </c>
      <c r="B11" t="s">
        <v>830</v>
      </c>
      <c r="C11" s="245">
        <f t="shared" si="0"/>
        <v>242405.05</v>
      </c>
      <c r="D11" s="244">
        <v>242405.05</v>
      </c>
      <c r="E11" s="243"/>
      <c r="F11" s="256"/>
      <c r="G11" s="254"/>
      <c r="H11" s="257"/>
    </row>
    <row r="12" spans="1:9" x14ac:dyDescent="0.2">
      <c r="A12" s="32">
        <v>2400</v>
      </c>
      <c r="B12" t="s">
        <v>714</v>
      </c>
      <c r="C12" s="245">
        <f t="shared" si="0"/>
        <v>779553.60999999987</v>
      </c>
      <c r="D12" s="20">
        <f>'DOE25'!L205+'DOE25'!L223+'DOE25'!L241-F12-G12</f>
        <v>764698.06999999983</v>
      </c>
      <c r="E12" s="243"/>
      <c r="F12" s="253">
        <f>'DOE25'!J205+'DOE25'!J223+'DOE25'!J241</f>
        <v>197.99</v>
      </c>
      <c r="G12" s="53">
        <f>'DOE25'!K205+'DOE25'!K223+'DOE25'!K241</f>
        <v>14657.55</v>
      </c>
      <c r="H12" s="257"/>
    </row>
    <row r="13" spans="1:9" x14ac:dyDescent="0.2">
      <c r="A13" s="32">
        <v>2500</v>
      </c>
      <c r="B13" t="s">
        <v>802</v>
      </c>
      <c r="C13" s="245">
        <f t="shared" si="0"/>
        <v>359172.43</v>
      </c>
      <c r="D13" s="243"/>
      <c r="E13" s="20">
        <f>'DOE25'!L206+'DOE25'!L224+'DOE25'!L242-F13-G13</f>
        <v>354697.08999999997</v>
      </c>
      <c r="F13" s="253">
        <f>'DOE25'!J206+'DOE25'!J224+'DOE25'!J242</f>
        <v>2580</v>
      </c>
      <c r="G13" s="53">
        <f>'DOE25'!K206+'DOE25'!K224+'DOE25'!K242</f>
        <v>1895.3399999999997</v>
      </c>
      <c r="H13" s="257"/>
    </row>
    <row r="14" spans="1:9" x14ac:dyDescent="0.2">
      <c r="A14" s="32">
        <v>2600</v>
      </c>
      <c r="B14" t="s">
        <v>831</v>
      </c>
      <c r="C14" s="245">
        <f t="shared" si="0"/>
        <v>1340670.75</v>
      </c>
      <c r="D14" s="20">
        <f>'DOE25'!L207+'DOE25'!L225+'DOE25'!L243-F14-G14</f>
        <v>1303003.3600000001</v>
      </c>
      <c r="E14" s="243"/>
      <c r="F14" s="253">
        <f>'DOE25'!J207+'DOE25'!J225+'DOE25'!J243</f>
        <v>37667.39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803</v>
      </c>
      <c r="C15" s="245">
        <f t="shared" si="0"/>
        <v>801169.98</v>
      </c>
      <c r="D15" s="20">
        <f>'DOE25'!L208+'DOE25'!L226+'DOE25'!L244-F15-G15</f>
        <v>775435.32</v>
      </c>
      <c r="E15" s="243"/>
      <c r="F15" s="253">
        <f>'DOE25'!J208+'DOE25'!J226+'DOE25'!J244</f>
        <v>25128.66</v>
      </c>
      <c r="G15" s="53">
        <f>'DOE25'!K208+'DOE25'!K226+'DOE25'!K244</f>
        <v>606</v>
      </c>
      <c r="H15" s="257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795</v>
      </c>
      <c r="F21" s="258"/>
      <c r="G21" s="52"/>
      <c r="H21" s="259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463</v>
      </c>
      <c r="F24" s="258"/>
      <c r="G24" s="52"/>
      <c r="H24" s="259"/>
    </row>
    <row r="25" spans="1:8" x14ac:dyDescent="0.2">
      <c r="A25" s="32" t="s">
        <v>808</v>
      </c>
      <c r="B25" t="s">
        <v>809</v>
      </c>
      <c r="C25" s="245">
        <f>SUM(D25:H25)</f>
        <v>791150</v>
      </c>
      <c r="D25" s="243"/>
      <c r="E25" s="243"/>
      <c r="F25" s="256"/>
      <c r="G25" s="254"/>
      <c r="H25" s="255">
        <f>'DOE25'!L260+'DOE25'!L261+'DOE25'!L341+'DOE25'!L342</f>
        <v>791150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811</v>
      </c>
      <c r="F27" s="258"/>
      <c r="G27" s="52"/>
      <c r="H27" s="259"/>
    </row>
    <row r="28" spans="1:8" x14ac:dyDescent="0.2">
      <c r="A28" s="32">
        <v>3100</v>
      </c>
      <c r="B28" t="s">
        <v>824</v>
      </c>
      <c r="F28" s="258"/>
      <c r="G28" s="52"/>
      <c r="H28" s="259"/>
    </row>
    <row r="29" spans="1:8" x14ac:dyDescent="0.2">
      <c r="A29" s="32"/>
      <c r="B29" t="s">
        <v>812</v>
      </c>
      <c r="C29" s="245">
        <f>SUM(D29:H29)</f>
        <v>412335.52</v>
      </c>
      <c r="D29" s="20">
        <f>'DOE25'!L358+'DOE25'!L359+'DOE25'!L360-'DOE25'!I367-F29-G29</f>
        <v>412335.52</v>
      </c>
      <c r="E29" s="243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3"/>
      <c r="F30" s="253"/>
      <c r="G30" s="53"/>
      <c r="H30" s="257"/>
    </row>
    <row r="31" spans="1:8" x14ac:dyDescent="0.2">
      <c r="A31" s="32" t="s">
        <v>826</v>
      </c>
      <c r="B31" t="s">
        <v>825</v>
      </c>
      <c r="C31" s="245">
        <f>SUM(D31:H31)</f>
        <v>1411648.9200000002</v>
      </c>
      <c r="D31" s="20">
        <f>'DOE25'!L290+'DOE25'!L309+'DOE25'!L328+'DOE25'!L333+'DOE25'!L334+'DOE25'!L335-F31-G31</f>
        <v>1033591.8200000001</v>
      </c>
      <c r="E31" s="243"/>
      <c r="F31" s="253">
        <f>'DOE25'!J290+'DOE25'!J309+'DOE25'!J328+'DOE25'!J333+'DOE25'!J334+'DOE25'!J335</f>
        <v>358162.4</v>
      </c>
      <c r="G31" s="53">
        <f>'DOE25'!K290+'DOE25'!K309+'DOE25'!K328+'DOE25'!K333+'DOE25'!K334+'DOE25'!K335</f>
        <v>19894.7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813</v>
      </c>
      <c r="D33" s="246">
        <f>SUM(D5:D31)</f>
        <v>15131508.290000001</v>
      </c>
      <c r="E33" s="246">
        <f>SUM(E5:E31)</f>
        <v>578092.93999999994</v>
      </c>
      <c r="F33" s="246">
        <f>SUM(F5:F31)</f>
        <v>762207.83000000007</v>
      </c>
      <c r="G33" s="246">
        <f>SUM(G5:G31)</f>
        <v>78517.079999999987</v>
      </c>
      <c r="H33" s="246">
        <f>SUM(H5:H31)</f>
        <v>791150</v>
      </c>
    </row>
    <row r="35" spans="2:8" ht="12" thickBot="1" x14ac:dyDescent="0.25">
      <c r="B35" s="251" t="s">
        <v>846</v>
      </c>
      <c r="D35" s="252">
        <f>E33</f>
        <v>578092.93999999994</v>
      </c>
      <c r="E35" s="247"/>
    </row>
    <row r="36" spans="2:8" ht="12" thickTop="1" x14ac:dyDescent="0.2">
      <c r="B36" t="s">
        <v>814</v>
      </c>
      <c r="D36" s="20">
        <f>D33</f>
        <v>15131508.290000001</v>
      </c>
    </row>
    <row r="38" spans="2:8" x14ac:dyDescent="0.2">
      <c r="B38" s="187" t="s">
        <v>907</v>
      </c>
      <c r="C38" s="264"/>
      <c r="D38" s="265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2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topLeftCell="C1" zoomScale="110" zoomScaleNormal="110" workbookViewId="0">
      <pane ySplit="2" topLeftCell="A3" activePane="bottomLeft" state="frozen"/>
      <selection activeCell="F46" sqref="F46"/>
      <selection pane="bottomLeft" activeCell="I4" sqref="I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>
        <f>'DOE25'!A2</f>
        <v>0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845712.39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303678.62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517107.8</v>
      </c>
      <c r="D11" s="95">
        <f>'DOE25'!G12</f>
        <v>-57615.47</v>
      </c>
      <c r="E11" s="95">
        <f>'DOE25'!H12</f>
        <v>-535072.82999999996</v>
      </c>
      <c r="F11" s="95">
        <f>'DOE25'!I12</f>
        <v>0</v>
      </c>
      <c r="G11" s="95">
        <f>'DOE25'!J12</f>
        <v>100000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57486.69</v>
      </c>
      <c r="E12" s="95">
        <f>'DOE25'!H13</f>
        <v>988489.56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-562.49</v>
      </c>
      <c r="D13" s="95">
        <f>'DOE25'!G14</f>
        <v>1530.95</v>
      </c>
      <c r="E13" s="95">
        <f>'DOE25'!H14</f>
        <v>-1665.67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1532.12</v>
      </c>
      <c r="D16" s="95">
        <f>'DOE25'!G17</f>
        <v>15644.59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1363789.82</v>
      </c>
      <c r="D18" s="41">
        <f>SUM(D8:D17)</f>
        <v>17046.760000000002</v>
      </c>
      <c r="E18" s="41">
        <f>SUM(E8:E17)</f>
        <v>451751.06000000011</v>
      </c>
      <c r="F18" s="41">
        <f>SUM(F8:F17)</f>
        <v>0</v>
      </c>
      <c r="G18" s="41">
        <f>SUM(G8:G17)</f>
        <v>403678.62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-3539.95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696504.96</v>
      </c>
      <c r="D23" s="95">
        <f>'DOE25'!G24</f>
        <v>0</v>
      </c>
      <c r="E23" s="95">
        <f>'DOE25'!H24</f>
        <v>446005.74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21266.400000000001</v>
      </c>
      <c r="D27" s="95">
        <f>'DOE25'!G28</f>
        <v>0</v>
      </c>
      <c r="E27" s="95">
        <f>'DOE25'!H28</f>
        <v>5547.05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-101070.71</v>
      </c>
      <c r="D28" s="95">
        <f>'DOE25'!G29</f>
        <v>0</v>
      </c>
      <c r="E28" s="95">
        <f>'DOE25'!H29</f>
        <v>198.27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15546.76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613160.70000000007</v>
      </c>
      <c r="D31" s="41">
        <f>SUM(D21:D30)</f>
        <v>15546.76</v>
      </c>
      <c r="E31" s="41">
        <f>SUM(E21:E30)</f>
        <v>451751.06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1500</v>
      </c>
      <c r="E47" s="95">
        <f>'DOE25'!H48</f>
        <v>0</v>
      </c>
      <c r="F47" s="95">
        <f>'DOE25'!I48</f>
        <v>0</v>
      </c>
      <c r="G47" s="95">
        <f>'DOE25'!J48</f>
        <v>403678.62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650629.12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750629.12</v>
      </c>
      <c r="D50" s="41">
        <f>SUM(D34:D49)</f>
        <v>1500</v>
      </c>
      <c r="E50" s="41">
        <f>SUM(E34:E49)</f>
        <v>0</v>
      </c>
      <c r="F50" s="41">
        <f>SUM(F34:F49)</f>
        <v>0</v>
      </c>
      <c r="G50" s="41">
        <f>SUM(G34:G49)</f>
        <v>403678.62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1363789.82</v>
      </c>
      <c r="D51" s="41">
        <f>D50+D31</f>
        <v>17046.760000000002</v>
      </c>
      <c r="E51" s="41">
        <f>E50+E31</f>
        <v>451751.06</v>
      </c>
      <c r="F51" s="41">
        <f>F50+F31</f>
        <v>0</v>
      </c>
      <c r="G51" s="41">
        <f>G50+G31</f>
        <v>403678.62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5320452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1514673.8599999999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1117.26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5470.73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931.9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103638.98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216959.4</v>
      </c>
      <c r="D61" s="95">
        <f>SUM('DOE25'!G98:G110)</f>
        <v>4864.5</v>
      </c>
      <c r="E61" s="95">
        <f>SUM('DOE25'!H98:H110)</f>
        <v>28920.449999999997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1738221.2499999998</v>
      </c>
      <c r="D62" s="130">
        <f>SUM(D57:D61)</f>
        <v>108503.48</v>
      </c>
      <c r="E62" s="130">
        <f>SUM(E57:E61)</f>
        <v>28920.449999999997</v>
      </c>
      <c r="F62" s="130">
        <f>SUM(F57:F61)</f>
        <v>0</v>
      </c>
      <c r="G62" s="130">
        <f>SUM(G57:G61)</f>
        <v>931.9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7058673.25</v>
      </c>
      <c r="D63" s="22">
        <f>D56+D62</f>
        <v>108503.48</v>
      </c>
      <c r="E63" s="22">
        <f>E56+E62</f>
        <v>28920.449999999997</v>
      </c>
      <c r="F63" s="22">
        <f>F56+F62</f>
        <v>0</v>
      </c>
      <c r="G63" s="22">
        <f>G56+G62</f>
        <v>931.9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6637280.4400000004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908537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7545817.4400000004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339729.59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189321.22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48831.41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5301.17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577882.22000000009</v>
      </c>
      <c r="D78" s="130">
        <f>SUM(D72:D77)</f>
        <v>5301.17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8123699.6600000001</v>
      </c>
      <c r="D81" s="130">
        <f>SUM(D79:D80)+D78+D70</f>
        <v>5301.17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424848.41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172426.46</v>
      </c>
      <c r="D88" s="95">
        <f>SUM('DOE25'!G153:G161)</f>
        <v>296346.42</v>
      </c>
      <c r="E88" s="95">
        <f>SUM('DOE25'!H153:H161)</f>
        <v>958880.06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172426.46</v>
      </c>
      <c r="D91" s="131">
        <f>SUM(D85:D90)</f>
        <v>296346.42</v>
      </c>
      <c r="E91" s="131">
        <f>SUM(E85:E90)</f>
        <v>1383728.47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2184.4499999999998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2184.4499999999998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15354799.370000001</v>
      </c>
      <c r="D104" s="86">
        <f>D63+D81+D91+D103</f>
        <v>412335.51999999996</v>
      </c>
      <c r="E104" s="86">
        <f>E63+E81+E91+E103</f>
        <v>1412648.92</v>
      </c>
      <c r="F104" s="86">
        <f>F63+F81+F91+F103</f>
        <v>0</v>
      </c>
      <c r="G104" s="86">
        <f>G63+G81+G103</f>
        <v>931.9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4557187.25</v>
      </c>
      <c r="D109" s="24" t="s">
        <v>288</v>
      </c>
      <c r="E109" s="95">
        <f>('DOE25'!L276)+('DOE25'!L295)+('DOE25'!L314)</f>
        <v>452819.00000000006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2857994.4699999997</v>
      </c>
      <c r="D110" s="24" t="s">
        <v>288</v>
      </c>
      <c r="E110" s="95">
        <f>('DOE25'!L277)+('DOE25'!L296)+('DOE25'!L315)</f>
        <v>208700.48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629489.51000000013</v>
      </c>
      <c r="D111" s="24" t="s">
        <v>288</v>
      </c>
      <c r="E111" s="95">
        <f>('DOE25'!L278)+('DOE25'!L297)+('DOE25'!L316)</f>
        <v>50222.03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299612.7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8344283.9299999997</v>
      </c>
      <c r="D115" s="86">
        <f>SUM(D109:D114)</f>
        <v>0</v>
      </c>
      <c r="E115" s="86">
        <f>SUM(E109:E114)</f>
        <v>711741.51000000013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1488645.8800000001</v>
      </c>
      <c r="D118" s="24" t="s">
        <v>288</v>
      </c>
      <c r="E118" s="95">
        <f>+('DOE25'!L281)+('DOE25'!L300)+('DOE25'!L319)</f>
        <v>56397.11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1042748</v>
      </c>
      <c r="D119" s="24" t="s">
        <v>288</v>
      </c>
      <c r="E119" s="95">
        <f>+('DOE25'!L282)+('DOE25'!L301)+('DOE25'!L320)</f>
        <v>591017.39999999991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550922.12</v>
      </c>
      <c r="D120" s="24" t="s">
        <v>288</v>
      </c>
      <c r="E120" s="95">
        <f>+('DOE25'!L283)+('DOE25'!L302)+('DOE25'!L321)</f>
        <v>48527.42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779553.60999999987</v>
      </c>
      <c r="D121" s="24" t="s">
        <v>288</v>
      </c>
      <c r="E121" s="95">
        <f>+('DOE25'!L284)+('DOE25'!L303)+('DOE25'!L322)</f>
        <v>1323.56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359172.43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1340670.75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801169.98</v>
      </c>
      <c r="D124" s="24" t="s">
        <v>288</v>
      </c>
      <c r="E124" s="95">
        <f>+('DOE25'!L287)+('DOE25'!L306)+('DOE25'!L325)</f>
        <v>2641.92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412335.52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6362882.7699999996</v>
      </c>
      <c r="D128" s="86">
        <f>SUM(D118:D127)</f>
        <v>412335.52</v>
      </c>
      <c r="E128" s="86">
        <f>SUM(E118:E127)</f>
        <v>699907.41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281150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1000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2184.4499999999998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676.41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255.49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-931.9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793334.45</v>
      </c>
      <c r="D144" s="141">
        <f>SUM(D130:D143)</f>
        <v>0</v>
      </c>
      <c r="E144" s="141">
        <f>SUM(E130:E143)</f>
        <v>1000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15500501.149999999</v>
      </c>
      <c r="D145" s="86">
        <f>(D115+D128+D144)</f>
        <v>412335.52</v>
      </c>
      <c r="E145" s="86">
        <f>(E115+E128+E144)</f>
        <v>1412648.9200000002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08/15/2007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08/15/2027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10156100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6080000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510000</v>
      </c>
    </row>
    <row r="159" spans="1:9" x14ac:dyDescent="0.2">
      <c r="A159" s="22" t="s">
        <v>35</v>
      </c>
      <c r="B159" s="137">
        <f>'DOE25'!F498</f>
        <v>5570000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5570000</v>
      </c>
    </row>
    <row r="160" spans="1:9" x14ac:dyDescent="0.2">
      <c r="A160" s="22" t="s">
        <v>36</v>
      </c>
      <c r="B160" s="137">
        <f>'DOE25'!F499</f>
        <v>1158926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1158926</v>
      </c>
    </row>
    <row r="161" spans="1:7" x14ac:dyDescent="0.2">
      <c r="A161" s="22" t="s">
        <v>37</v>
      </c>
      <c r="B161" s="137">
        <f>'DOE25'!F500</f>
        <v>6728926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6728926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255650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255650</v>
      </c>
    </row>
    <row r="164" spans="1:7" x14ac:dyDescent="0.2">
      <c r="A164" s="22" t="s">
        <v>246</v>
      </c>
      <c r="B164" s="137">
        <f>'DOE25'!F503</f>
        <v>765650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765650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zoomScale="130" zoomScaleNormal="130" workbookViewId="0">
      <selection activeCell="F27" sqref="F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739</v>
      </c>
      <c r="B1" s="281"/>
      <c r="C1" s="281"/>
      <c r="D1" s="281"/>
    </row>
    <row r="2" spans="1:4" x14ac:dyDescent="0.2">
      <c r="A2" s="187" t="s">
        <v>716</v>
      </c>
      <c r="B2" s="186">
        <f>'DOE25'!A2</f>
        <v>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14531</v>
      </c>
    </row>
    <row r="5" spans="1:4" x14ac:dyDescent="0.2">
      <c r="B5" t="s">
        <v>703</v>
      </c>
      <c r="C5" s="179">
        <f>IF('DOE25'!G665+'DOE25'!G670=0,0,ROUND('DOE25'!G672,0))</f>
        <v>8845</v>
      </c>
    </row>
    <row r="6" spans="1:4" x14ac:dyDescent="0.2">
      <c r="B6" t="s">
        <v>62</v>
      </c>
      <c r="C6" s="179">
        <f>IF('DOE25'!H665+'DOE25'!H670=0,0,ROUND('DOE25'!H672,0))</f>
        <v>16508</v>
      </c>
    </row>
    <row r="7" spans="1:4" x14ac:dyDescent="0.2">
      <c r="B7" t="s">
        <v>704</v>
      </c>
      <c r="C7" s="179">
        <f>IF('DOE25'!I665+'DOE25'!I670=0,0,ROUND('DOE25'!I672,0))</f>
        <v>13888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5010006</v>
      </c>
      <c r="D10" s="182">
        <f>ROUND((C10/$C$28)*100,1)</f>
        <v>30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3066695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679712</v>
      </c>
      <c r="D12" s="182">
        <f>ROUND((C12/$C$28)*100,1)</f>
        <v>4.0999999999999996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299613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1545043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1633765</v>
      </c>
      <c r="D16" s="182">
        <f t="shared" si="0"/>
        <v>9.8000000000000007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599450</v>
      </c>
      <c r="D17" s="182">
        <f t="shared" si="0"/>
        <v>3.6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780877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359172</v>
      </c>
      <c r="D19" s="182">
        <f t="shared" si="0"/>
        <v>2.2000000000000002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1340671</v>
      </c>
      <c r="D20" s="182">
        <f t="shared" si="0"/>
        <v>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803812</v>
      </c>
      <c r="D21" s="182">
        <f t="shared" si="0"/>
        <v>4.8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281150</v>
      </c>
      <c r="D25" s="182">
        <f t="shared" si="0"/>
        <v>1.7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303832.52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16703798.52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16703798.52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5320452</v>
      </c>
      <c r="D35" s="182">
        <f t="shared" ref="D35:D40" si="1">ROUND((C35/$C$41)*100,1)</f>
        <v>31.2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1768073.5999999996</v>
      </c>
      <c r="D36" s="182">
        <f t="shared" si="1"/>
        <v>10.4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7545817</v>
      </c>
      <c r="D37" s="182">
        <f t="shared" si="1"/>
        <v>44.2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583183</v>
      </c>
      <c r="D38" s="182">
        <f t="shared" si="1"/>
        <v>3.4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1852501</v>
      </c>
      <c r="D39" s="182">
        <f t="shared" si="1"/>
        <v>10.9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17070026.600000001</v>
      </c>
      <c r="D41" s="184">
        <f>SUM(D35:D40)</f>
        <v>100.10000000000002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S14" sqref="S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769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766</v>
      </c>
      <c r="B2" s="299"/>
      <c r="C2" s="299"/>
      <c r="D2" s="299"/>
      <c r="E2" s="299"/>
      <c r="F2" s="296">
        <f>'DOE25'!A2</f>
        <v>0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4" t="s">
        <v>770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83" t="s">
        <v>915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 t="s">
        <v>914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 t="s">
        <v>916</v>
      </c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847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2017-11-29T15:41:39Z</cp:lastPrinted>
  <dcterms:created xsi:type="dcterms:W3CDTF">1997-12-04T19:04:30Z</dcterms:created>
  <dcterms:modified xsi:type="dcterms:W3CDTF">2017-11-29T17:58:52Z</dcterms:modified>
</cp:coreProperties>
</file>