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15" yWindow="225" windowWidth="23700" windowHeight="118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F521" i="1"/>
  <c r="G526" i="1"/>
  <c r="G531" i="1"/>
  <c r="C10" i="12"/>
  <c r="C11" i="12"/>
  <c r="B11" i="12"/>
  <c r="B12" i="12"/>
  <c r="C12" i="12"/>
  <c r="C19" i="12"/>
  <c r="C20" i="12"/>
  <c r="C39" i="12"/>
  <c r="C21" i="12"/>
  <c r="G203" i="1"/>
  <c r="F50" i="1" l="1"/>
  <c r="I197" i="1" l="1"/>
  <c r="F203" i="1"/>
  <c r="F526" i="1"/>
  <c r="F502" i="1"/>
  <c r="F582" i="1"/>
  <c r="F583" i="1"/>
  <c r="B39" i="12"/>
  <c r="B21" i="12"/>
  <c r="B19" i="12"/>
  <c r="B10" i="12"/>
  <c r="H521" i="1" l="1"/>
  <c r="F531" i="1"/>
  <c r="H604" i="1"/>
  <c r="J197" i="1"/>
  <c r="I200" i="1"/>
  <c r="I202" i="1"/>
  <c r="H202" i="1"/>
  <c r="J203" i="1"/>
  <c r="I203" i="1"/>
  <c r="H208" i="1"/>
  <c r="H207" i="1"/>
  <c r="H204" i="1"/>
  <c r="H203" i="1"/>
  <c r="F202" i="1"/>
  <c r="H276" i="1"/>
  <c r="J276" i="1"/>
  <c r="I276" i="1"/>
  <c r="G276" i="1"/>
  <c r="F276" i="1"/>
  <c r="H159" i="1"/>
  <c r="H155" i="1"/>
  <c r="H154" i="1"/>
  <c r="F368" i="1" l="1"/>
  <c r="F367" i="1"/>
  <c r="I358" i="1"/>
  <c r="F358" i="1"/>
  <c r="F29" i="1" l="1"/>
  <c r="F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C17" i="10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H545" i="1" s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G641" i="1"/>
  <c r="H641" i="1"/>
  <c r="G643" i="1"/>
  <c r="H643" i="1"/>
  <c r="G644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28" i="1"/>
  <c r="H660" i="1" s="1"/>
  <c r="L351" i="1"/>
  <c r="I662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C91" i="2"/>
  <c r="F78" i="2"/>
  <c r="F81" i="2" s="1"/>
  <c r="D31" i="2"/>
  <c r="C78" i="2"/>
  <c r="G157" i="2"/>
  <c r="F18" i="2"/>
  <c r="G161" i="2"/>
  <c r="G156" i="2"/>
  <c r="E115" i="2"/>
  <c r="E103" i="2"/>
  <c r="D91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F169" i="1"/>
  <c r="J140" i="1"/>
  <c r="F571" i="1"/>
  <c r="I552" i="1"/>
  <c r="K550" i="1"/>
  <c r="G22" i="2"/>
  <c r="K545" i="1"/>
  <c r="J552" i="1"/>
  <c r="H140" i="1"/>
  <c r="L393" i="1"/>
  <c r="C138" i="2" s="1"/>
  <c r="H25" i="13"/>
  <c r="C25" i="13" s="1"/>
  <c r="J651" i="1"/>
  <c r="J640" i="1"/>
  <c r="H571" i="1"/>
  <c r="L560" i="1"/>
  <c r="J545" i="1"/>
  <c r="H338" i="1"/>
  <c r="H352" i="1" s="1"/>
  <c r="G192" i="1"/>
  <c r="H192" i="1"/>
  <c r="E128" i="2"/>
  <c r="C35" i="10"/>
  <c r="L309" i="1"/>
  <c r="E16" i="13"/>
  <c r="C16" i="13" s="1"/>
  <c r="L570" i="1"/>
  <c r="I571" i="1"/>
  <c r="I545" i="1"/>
  <c r="J636" i="1"/>
  <c r="G36" i="2"/>
  <c r="L565" i="1"/>
  <c r="K551" i="1"/>
  <c r="L524" i="1" l="1"/>
  <c r="C121" i="2"/>
  <c r="A13" i="12"/>
  <c r="K503" i="1"/>
  <c r="K500" i="1"/>
  <c r="K549" i="1"/>
  <c r="K552" i="1" s="1"/>
  <c r="L534" i="1"/>
  <c r="K598" i="1"/>
  <c r="G647" i="1" s="1"/>
  <c r="J647" i="1" s="1"/>
  <c r="J649" i="1"/>
  <c r="F476" i="1"/>
  <c r="H622" i="1" s="1"/>
  <c r="J622" i="1" s="1"/>
  <c r="F22" i="13"/>
  <c r="C22" i="13" s="1"/>
  <c r="K257" i="1"/>
  <c r="K271" i="1" s="1"/>
  <c r="H257" i="1"/>
  <c r="H271" i="1" s="1"/>
  <c r="D6" i="13"/>
  <c r="C6" i="13" s="1"/>
  <c r="H33" i="13"/>
  <c r="C120" i="2"/>
  <c r="C123" i="2"/>
  <c r="C128" i="2" s="1"/>
  <c r="D5" i="13"/>
  <c r="C5" i="13" s="1"/>
  <c r="L211" i="1"/>
  <c r="L257" i="1" s="1"/>
  <c r="L271" i="1" s="1"/>
  <c r="G632" i="1" s="1"/>
  <c r="J632" i="1" s="1"/>
  <c r="E33" i="13"/>
  <c r="D35" i="13" s="1"/>
  <c r="C115" i="2"/>
  <c r="E31" i="2"/>
  <c r="H52" i="1"/>
  <c r="H619" i="1" s="1"/>
  <c r="G645" i="1"/>
  <c r="J645" i="1" s="1"/>
  <c r="J644" i="1"/>
  <c r="I446" i="1"/>
  <c r="G642" i="1" s="1"/>
  <c r="L401" i="1"/>
  <c r="C139" i="2" s="1"/>
  <c r="G476" i="1"/>
  <c r="H623" i="1" s="1"/>
  <c r="J623" i="1" s="1"/>
  <c r="D127" i="2"/>
  <c r="D128" i="2" s="1"/>
  <c r="D145" i="2" s="1"/>
  <c r="G661" i="1"/>
  <c r="L362" i="1"/>
  <c r="F661" i="1"/>
  <c r="H664" i="1"/>
  <c r="H667" i="1" s="1"/>
  <c r="D50" i="2"/>
  <c r="C70" i="2"/>
  <c r="C81" i="2"/>
  <c r="C62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C28" i="10" s="1"/>
  <c r="G635" i="1"/>
  <c r="J635" i="1" s="1"/>
  <c r="L545" i="1" l="1"/>
  <c r="F660" i="1"/>
  <c r="I660" i="1" s="1"/>
  <c r="C145" i="2"/>
  <c r="D31" i="13"/>
  <c r="C31" i="13" s="1"/>
  <c r="G104" i="2"/>
  <c r="H646" i="1"/>
  <c r="J646" i="1" s="1"/>
  <c r="H672" i="1"/>
  <c r="C6" i="10" s="1"/>
  <c r="I661" i="1"/>
  <c r="G664" i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4" i="1" l="1"/>
  <c r="F672" i="1" s="1"/>
  <c r="C4" i="10" s="1"/>
  <c r="I664" i="1"/>
  <c r="I672" i="1" s="1"/>
  <c r="C7" i="10" s="1"/>
  <c r="G672" i="1"/>
  <c r="C5" i="10" s="1"/>
  <c r="G667" i="1"/>
  <c r="H656" i="1"/>
  <c r="D28" i="10"/>
  <c r="C41" i="10"/>
  <c r="D38" i="10" s="1"/>
  <c r="F667" i="1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<sst xmlns="http://schemas.openxmlformats.org/spreadsheetml/2006/main" count="3957" uniqueCount="915">
  <si>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</si>
  <si>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</si>
  <si>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</si>
  <si>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</si>
  <si>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</si>
  <si>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</si>
  <si>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</si>
  <si>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</si>
  <si>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</si>
  <si>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</si>
  <si>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</si>
  <si>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</si>
  <si>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</si>
  <si>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</si>
  <si>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</si>
  <si>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</si>
  <si>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</si>
  <si>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</si>
  <si>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</si>
  <si>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</si>
  <si>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</si>
  <si>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</si>
  <si>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</si>
  <si>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</si>
  <si>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</si>
  <si>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</si>
  <si>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</si>
  <si>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</si>
  <si>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</si>
  <si>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</si>
  <si>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</si>
  <si>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</si>
  <si>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</si>
  <si>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</si>
  <si>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</si>
  <si>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</si>
  <si>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</si>
  <si>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</si>
  <si>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</si>
  <si>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</si>
  <si>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</si>
  <si>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</si>
  <si>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</si>
  <si>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</si>
  <si>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</si>
  <si>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</si>
  <si>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</si>
  <si>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</si>
  <si>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</si>
  <si>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</si>
  <si>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</si>
  <si>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</si>
  <si>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</si>
  <si>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</si>
  <si>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</si>
  <si>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</si>
  <si>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</si>
  <si>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</si>
  <si>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</si>
  <si>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</si>
  <si>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</si>
  <si>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</si>
  <si>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</si>
  <si>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</si>
  <si>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</si>
  <si>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</si>
  <si>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</si>
  <si>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</si>
  <si>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</si>
  <si>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</si>
  <si>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</si>
  <si>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</si>
  <si>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</si>
  <si>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</si>
  <si>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</si>
  <si>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</si>
  <si>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</si>
  <si>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</si>
  <si>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</si>
  <si>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</si>
  <si>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</si>
  <si>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</si>
  <si>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</si>
  <si>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</si>
  <si>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</si>
  <si>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</si>
  <si>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</si>
  <si>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</si>
  <si>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</si>
  <si>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</si>
  <si>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</si>
  <si>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</si>
  <si>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</si>
  <si>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</si>
  <si>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</si>
  <si>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</si>
  <si>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</si>
  <si>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</si>
  <si>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</si>
  <si>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</si>
  <si>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</si>
  <si>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</si>
  <si>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</si>
  <si>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</si>
  <si>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</si>
  <si>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</si>
  <si>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</si>
  <si>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</si>
  <si>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</si>
  <si>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</si>
  <si>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</si>
  <si>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</si>
  <si>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</si>
  <si>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</si>
  <si>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</si>
  <si>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</si>
  <si>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</si>
  <si>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</si>
  <si>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</si>
  <si>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</si>
  <si>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</si>
  <si>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</si>
  <si>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</si>
  <si>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</si>
  <si>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</si>
  <si>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</si>
  <si>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</si>
  <si>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</si>
  <si>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</si>
  <si>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</si>
  <si>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</si>
  <si>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</si>
  <si>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</si>
  <si>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</si>
  <si>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</si>
  <si>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</si>
  <si>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</si>
  <si>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</si>
  <si>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</si>
  <si>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</si>
  <si>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</si>
  <si>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</si>
  <si>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</si>
  <si>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</si>
  <si>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</si>
  <si>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</si>
  <si>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</si>
  <si>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</si>
  <si>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</si>
  <si>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</si>
  <si>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</si>
  <si>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</si>
  <si>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</si>
  <si>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</si>
  <si>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</si>
  <si>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</si>
  <si>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</si>
  <si>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</si>
  <si>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</si>
  <si>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</si>
  <si>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</si>
  <si>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</si>
  <si>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</si>
  <si>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</si>
  <si>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</si>
  <si>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</si>
  <si>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</si>
  <si>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</si>
  <si>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</si>
  <si>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</si>
  <si>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</si>
  <si>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</si>
  <si>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</si>
  <si>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</si>
  <si>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</si>
  <si>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</si>
  <si>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</si>
  <si>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</si>
  <si>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</si>
  <si>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</si>
  <si>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</si>
  <si>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</si>
  <si>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</si>
  <si>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</si>
  <si>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</si>
  <si>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</si>
  <si>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</si>
  <si>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</si>
  <si>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</si>
  <si>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</si>
  <si>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</si>
  <si>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</si>
  <si>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</si>
  <si>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</si>
  <si>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</si>
  <si>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</si>
  <si>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</si>
  <si>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</si>
  <si>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</si>
  <si>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</si>
  <si>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</si>
  <si>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</si>
  <si>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</si>
  <si>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</si>
  <si>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</si>
  <si>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</si>
  <si>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</si>
  <si>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</si>
  <si>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</si>
  <si>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</si>
  <si>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</si>
  <si>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</si>
  <si>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</si>
  <si>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</si>
  <si>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</si>
  <si>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</si>
  <si>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</si>
  <si>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</si>
  <si>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</si>
  <si>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</si>
  <si>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</si>
  <si>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</si>
  <si>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</si>
  <si>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</si>
  <si>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</si>
  <si>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</si>
  <si>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</si>
  <si>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</si>
  <si>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</si>
  <si>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</si>
  <si>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</si>
  <si>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</si>
  <si>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</si>
  <si>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</si>
  <si>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</si>
  <si>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</si>
  <si>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</si>
  <si>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</si>
  <si>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</si>
  <si>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</si>
  <si>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</si>
  <si>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</si>
  <si>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</si>
  <si>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</si>
  <si>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</si>
  <si>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</si>
  <si>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</si>
  <si>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</si>
  <si>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</si>
  <si>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</si>
  <si>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</si>
  <si>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</si>
  <si>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</si>
  <si>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</si>
  <si>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</si>
  <si>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</si>
  <si>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</si>
  <si>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</si>
  <si>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</si>
  <si>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</si>
  <si>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</si>
  <si>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</si>
  <si>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</si>
  <si>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</si>
  <si>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</si>
  <si>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</si>
  <si>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</si>
  <si>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</si>
  <si>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</si>
  <si>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</si>
  <si>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</si>
  <si>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</si>
  <si>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</si>
  <si>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</si>
  <si>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</si>
  <si>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</si>
  <si>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</si>
  <si>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</si>
  <si>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</si>
  <si>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</si>
  <si>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</si>
  <si>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</si>
  <si>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</si>
  <si>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</si>
  <si>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</si>
  <si>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</si>
  <si>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</si>
  <si>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</si>
  <si>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</si>
  <si>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</si>
  <si>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</si>
  <si>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</si>
  <si>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</si>
  <si>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</si>
  <si>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</si>
  <si>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</si>
  <si>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</si>
  <si>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</si>
  <si>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</si>
  <si>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</si>
  <si>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</si>
  <si>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</si>
  <si>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</si>
  <si>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</si>
  <si>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</si>
  <si>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</si>
  <si>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</si>
  <si>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</si>
  <si>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</si>
  <si>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</si>
  <si>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</si>
  <si>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</si>
  <si>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</si>
  <si>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</si>
  <si>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</si>
  <si>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</si>
  <si>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</si>
  <si>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</si>
  <si>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</si>
  <si>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</si>
  <si>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</si>
  <si>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</si>
  <si>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</si>
  <si>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</si>
  <si>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</si>
  <si>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</si>
  <si>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</si>
  <si>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</si>
  <si>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</si>
  <si>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</si>
  <si>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</si>
  <si>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</si>
  <si>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</si>
  <si>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</si>
  <si>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</si>
  <si>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</si>
  <si>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</si>
  <si>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</si>
  <si>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</si>
  <si>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</si>
  <si>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</si>
  <si>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</si>
  <si>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</si>
  <si>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</si>
  <si>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</si>
  <si>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</si>
  <si>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</si>
  <si>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</si>
  <si>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</si>
  <si>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</si>
  <si>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</si>
  <si>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</si>
  <si>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</si>
  <si>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</si>
  <si>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</si>
  <si>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</si>
  <si>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</si>
  <si>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</si>
  <si>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</si>
  <si>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</si>
  <si>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</si>
  <si>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</si>
  <si>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</si>
  <si>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</si>
  <si>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</si>
  <si>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</si>
  <si>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</si>
  <si>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</si>
  <si>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</si>
  <si>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</si>
  <si>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</si>
  <si>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</si>
  <si>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</si>
  <si>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</si>
  <si>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</si>
  <si>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</si>
  <si>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</si>
  <si>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</si>
  <si>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</si>
  <si>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</si>
  <si>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</si>
  <si>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</si>
  <si>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</si>
  <si>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</si>
  <si>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</si>
  <si>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</si>
  <si>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</si>
  <si>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</si>
  <si>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</si>
  <si>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</si>
  <si>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</si>
  <si>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</si>
  <si>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</si>
  <si>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</si>
  <si>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</si>
  <si>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</si>
  <si>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</si>
  <si>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</si>
  <si>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</si>
  <si>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</si>
  <si>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</si>
  <si>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</si>
  <si>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</si>
  <si>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</si>
  <si>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</si>
  <si>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</si>
  <si>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</si>
  <si>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</si>
  <si>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</si>
  <si>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</si>
  <si>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</si>
  <si>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</si>
  <si>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</si>
  <si>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</si>
  <si>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</si>
  <si>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</si>
  <si>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</si>
  <si>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</si>
  <si>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</si>
  <si>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</si>
  <si>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</si>
  <si>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</si>
  <si>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</si>
  <si>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</si>
  <si>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</si>
  <si>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</si>
  <si>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</si>
  <si>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</si>
  <si>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</si>
  <si>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</si>
  <si>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</si>
  <si>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</si>
  <si>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</si>
  <si>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</si>
  <si>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</si>
  <si>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</si>
  <si>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</si>
  <si>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</si>
  <si>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</si>
  <si>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</si>
  <si>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</si>
  <si>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</si>
  <si>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</si>
  <si>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</si>
  <si>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</si>
  <si>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</si>
  <si>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</si>
  <si>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</si>
  <si>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</si>
  <si>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</si>
  <si>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</si>
  <si>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</si>
  <si>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</si>
  <si>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</si>
  <si>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</si>
  <si>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</si>
  <si>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</si>
  <si>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</si>
  <si>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</si>
  <si>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</si>
  <si>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</si>
  <si>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</si>
  <si>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</si>
  <si>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</si>
  <si>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</si>
  <si>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</si>
  <si>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</si>
  <si>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</si>
  <si>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</si>
  <si>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</si>
  <si>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</si>
  <si>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</si>
  <si>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</si>
  <si>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</si>
  <si>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</si>
  <si>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</si>
  <si>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</si>
  <si>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</si>
  <si>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</si>
  <si>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</si>
  <si>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</si>
  <si>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</si>
  <si>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</si>
  <si>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</si>
  <si>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</si>
  <si>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</si>
  <si>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</si>
  <si>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</si>
  <si>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</si>
  <si>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</si>
  <si>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</si>
  <si>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</si>
  <si>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</si>
  <si>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</si>
  <si>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</si>
  <si>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</si>
  <si>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</si>
  <si>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</si>
  <si>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</si>
  <si>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</si>
  <si>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</si>
  <si>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</si>
  <si>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</si>
  <si>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</si>
  <si>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</si>
  <si>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</si>
  <si>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</si>
  <si>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</si>
  <si>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</si>
  <si>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</si>
  <si>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</si>
  <si>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</si>
  <si>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</si>
  <si>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</si>
  <si>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</si>
  <si>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</si>
  <si>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</si>
  <si>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</si>
  <si>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</si>
  <si>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</si>
  <si>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</si>
  <si>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</si>
  <si>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</si>
  <si>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</si>
  <si>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</si>
  <si>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</si>
  <si>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</si>
  <si>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</si>
  <si>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</si>
  <si>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</si>
  <si>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</si>
  <si>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</si>
  <si>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</si>
  <si>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</si>
  <si>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</si>
  <si>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</si>
  <si>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</si>
  <si>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</si>
  <si>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</si>
  <si>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</si>
  <si>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</si>
  <si>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</si>
  <si>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</si>
  <si>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</si>
  <si>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</si>
  <si>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</si>
  <si>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</si>
  <si>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</si>
  <si>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</si>
  <si>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</si>
  <si>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</si>
  <si>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</si>
  <si>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</si>
  <si>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</si>
  <si>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</si>
  <si>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</si>
  <si>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</si>
  <si>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</si>
  <si>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</si>
  <si>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</si>
  <si>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</si>
  <si>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</si>
  <si>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</si>
  <si>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</si>
  <si>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</si>
  <si>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</si>
  <si>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</si>
  <si>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</si>
  <si>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</si>
  <si>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</si>
  <si>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</si>
  <si>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</si>
  <si>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</si>
  <si>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</si>
  <si>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</si>
  <si>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</si>
  <si>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</si>
  <si>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</si>
  <si>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</si>
  <si>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</si>
  <si>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</si>
  <si>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</si>
  <si>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</si>
  <si>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</si>
  <si>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</si>
  <si>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</si>
  <si>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</si>
  <si>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</si>
  <si>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</si>
  <si>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</si>
  <si>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</si>
  <si>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</si>
  <si>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</si>
  <si>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</si>
  <si>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</si>
  <si>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</si>
  <si>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</si>
  <si>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</si>
  <si>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</si>
  <si>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</si>
  <si>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</si>
  <si>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</si>
  <si>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</si>
  <si>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</si>
  <si>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</si>
  <si>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</si>
  <si>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</si>
  <si>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</si>
  <si>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</si>
  <si>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</si>
  <si>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</si>
  <si>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</si>
  <si>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</si>
  <si>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</si>
  <si>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</si>
  <si>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</si>
  <si>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</si>
  <si>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</si>
  <si>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</si>
  <si>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</si>
  <si>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</si>
  <si>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</si>
  <si>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</si>
  <si>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</si>
  <si>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</si>
  <si>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</si>
  <si>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</si>
  <si>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</si>
  <si>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</si>
  <si>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</si>
  <si>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</si>
  <si>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</si>
  <si>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</si>
  <si>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</si>
  <si>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</si>
  <si>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</si>
  <si>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</si>
  <si>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</si>
  <si>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</si>
  <si>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</si>
  <si>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</si>
  <si>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</si>
  <si>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</si>
  <si>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</si>
  <si>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</si>
  <si>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</si>
  <si>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</si>
  <si>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</si>
  <si>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</si>
  <si>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</si>
  <si>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</si>
  <si>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</si>
  <si>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</si>
  <si>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</si>
  <si>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</si>
  <si>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</si>
  <si>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</si>
  <si>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</si>
  <si>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</si>
  <si>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</si>
  <si>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</si>
  <si>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</si>
  <si>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</si>
  <si>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</si>
  <si>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</si>
  <si>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</si>
  <si>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</si>
  <si>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</si>
  <si>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</si>
  <si>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</si>
  <si>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</si>
  <si>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</si>
  <si>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</si>
  <si>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</si>
  <si>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</si>
  <si>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</si>
  <si>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</si>
  <si>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</si>
  <si>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</si>
  <si>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</si>
  <si>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</si>
  <si>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</si>
  <si>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</si>
  <si>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</si>
  <si>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</si>
  <si>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</si>
  <si>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</si>
  <si>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</si>
  <si>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</si>
  <si>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</si>
  <si>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</si>
  <si>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</si>
  <si>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</si>
  <si>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</si>
  <si>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</si>
  <si>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</si>
  <si>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</si>
  <si>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</si>
  <si>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</si>
  <si>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</si>
  <si>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</si>
  <si>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</si>
  <si>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</si>
  <si>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</si>
  <si>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</si>
  <si>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</si>
  <si>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</si>
  <si>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</si>
  <si>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</si>
  <si>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</si>
  <si>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</si>
  <si>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</si>
  <si>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</si>
  <si>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</si>
  <si>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</si>
  <si>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</si>
  <si>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</si>
  <si>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</si>
  <si>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</si>
  <si>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</si>
  <si>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</si>
  <si>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</si>
  <si>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</si>
  <si>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</si>
  <si>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</si>
  <si>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</si>
  <si>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</si>
  <si>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</si>
  <si>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</si>
  <si>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</si>
  <si>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</si>
  <si>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</si>
  <si>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</si>
  <si>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</si>
  <si>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</si>
  <si>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</si>
  <si>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</si>
  <si>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</si>
  <si>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</si>
  <si>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</si>
  <si>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</si>
  <si>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</si>
  <si>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</si>
  <si>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</si>
  <si>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</si>
  <si>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</si>
  <si>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</si>
  <si>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</si>
  <si>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</si>
  <si>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</si>
  <si>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</si>
  <si>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</si>
  <si>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</si>
  <si>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</si>
  <si>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</si>
  <si>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</si>
  <si>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</si>
  <si>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</si>
  <si>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</si>
  <si>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</si>
  <si>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</si>
  <si>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</si>
  <si>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</si>
  <si>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</si>
  <si>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</si>
  <si>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</si>
  <si>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</si>
  <si>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</si>
  <si>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</si>
  <si>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</si>
  <si>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</si>
  <si>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</si>
  <si>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</si>
  <si>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</si>
  <si>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</si>
  <si>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</si>
  <si>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</si>
  <si>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</si>
  <si>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</si>
  <si>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</si>
  <si>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</si>
  <si>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</si>
  <si>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</si>
  <si>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</si>
  <si>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</si>
  <si>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</si>
  <si>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</si>
  <si>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</si>
  <si>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</si>
  <si>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</si>
  <si>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</si>
  <si>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</si>
  <si>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</si>
  <si>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</si>
  <si>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</si>
  <si>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</si>
  <si>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</si>
  <si>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</si>
  <si>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</si>
  <si>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</si>
  <si>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</si>
  <si>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</si>
  <si>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</si>
  <si>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</si>
  <si>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</si>
  <si>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</si>
  <si>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</si>
  <si>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</si>
  <si>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</si>
  <si>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</si>
  <si>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</si>
  <si>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</si>
  <si>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</si>
  <si>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</si>
  <si>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</si>
  <si>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</si>
  <si>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</si>
  <si>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</si>
  <si>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</si>
  <si>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</si>
  <si>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</si>
  <si>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</si>
  <si>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</si>
  <si>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</si>
  <si>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</si>
  <si>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</si>
  <si>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</si>
  <si>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</si>
  <si>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</si>
  <si>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</si>
  <si>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</si>
  <si>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</si>
  <si>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</si>
  <si>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</si>
  <si>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</si>
  <si>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</si>
  <si>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</si>
  <si>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</si>
  <si>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</si>
  <si>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</si>
  <si>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</si>
  <si>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</si>
  <si>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</si>
  <si>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</si>
  <si>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</si>
  <si>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</si>
  <si>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</si>
  <si>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</si>
  <si>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</si>
  <si>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</si>
  <si>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</si>
  <si>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</si>
  <si>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</si>
  <si>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</si>
  <si>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</si>
  <si>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</si>
  <si>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</si>
  <si>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</si>
  <si>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</si>
  <si>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</si>
  <si>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</si>
  <si>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</si>
  <si>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</si>
  <si>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</si>
  <si>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</si>
  <si>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</si>
  <si>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</si>
  <si>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</si>
  <si>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</si>
  <si>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</si>
  <si>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</si>
  <si>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</si>
  <si>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</si>
  <si>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</si>
  <si>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</si>
  <si>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</si>
  <si>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</si>
  <si>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</si>
  <si>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</si>
  <si>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</si>
  <si>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</si>
  <si>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</si>
  <si>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</si>
  <si>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</si>
  <si>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</si>
  <si>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</si>
  <si>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</si>
  <si>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</si>
  <si>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</si>
  <si>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</si>
  <si>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</si>
  <si>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</si>
  <si>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</si>
  <si>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</si>
  <si>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</si>
  <si>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</si>
  <si>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</si>
  <si>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</si>
  <si>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</si>
  <si>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</si>
  <si>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</si>
  <si>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</si>
  <si>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</si>
  <si>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</si>
  <si>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</si>
  <si>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</si>
  <si>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</si>
  <si>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</si>
  <si>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</si>
  <si>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</si>
  <si>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</si>
  <si>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</si>
  <si>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NORTH HAMPTON</t>
  </si>
  <si>
    <t>August 2013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</si>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</sst>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497" sqref="F4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405</v>
      </c>
      <c r="C2" s="21">
        <v>405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/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f>267618.79+133.61</f>
        <v>267752.39999999997</v>
      </c>
      <c r="G10" s="18"/>
      <c r="H10" s="18"/>
      <c r="I10" s="18"/>
      <c r="J10" s="67">
        <f>SUM(I440)</f>
        <v>329780.31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34335.47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1848.5</v>
      </c>
      <c r="G13" s="18">
        <v>2063.62</v>
      </c>
      <c r="H13" s="18">
        <v>28987.06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1388.85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8791.76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8471.85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313797.06999999995</v>
      </c>
      <c r="G19" s="41">
        <f>SUM(G9:G18)</f>
        <v>10855.380000000001</v>
      </c>
      <c r="H19" s="41">
        <f>SUM(H9:H18)</f>
        <v>28987.06</v>
      </c>
      <c r="I19" s="41">
        <f>SUM(I9:I18)</f>
        <v>0</v>
      </c>
      <c r="J19" s="41">
        <f>SUM(J9:J18)</f>
        <v>329780.31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27301.52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7033.95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10968.65</v>
      </c>
      <c r="G24" s="18">
        <v>382.98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7082.29</v>
      </c>
      <c r="G28" s="18">
        <v>133.77000000000001</v>
      </c>
      <c r="H28" s="18">
        <v>1565.76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552.04+1780.66+42206.22+526.24</f>
        <v>45065.159999999996</v>
      </c>
      <c r="G29" s="18"/>
      <c r="H29" s="18">
        <v>119.78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3304.68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63116.099999999991</v>
      </c>
      <c r="G32" s="41">
        <f>SUM(G22:G31)</f>
        <v>10855.380000000001</v>
      </c>
      <c r="H32" s="41">
        <f>SUM(H22:H31)</f>
        <v>28987.059999999998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8791.76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8471.85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-8791.76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14430.83</v>
      </c>
      <c r="G48" s="18"/>
      <c r="H48" s="18"/>
      <c r="I48" s="18"/>
      <c r="J48" s="13">
        <f>SUM(I459)</f>
        <v>329780.31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4335.07</v>
      </c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131915.07-8471.85</f>
        <v>123443.22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250680.97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329780.31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313797.07</v>
      </c>
      <c r="G52" s="41">
        <f>G51+G32</f>
        <v>10855.380000000001</v>
      </c>
      <c r="H52" s="41">
        <f>H51+H32</f>
        <v>28987.059999999998</v>
      </c>
      <c r="I52" s="41">
        <f>I51+I32</f>
        <v>0</v>
      </c>
      <c r="J52" s="41">
        <f>J51+J32</f>
        <v>329780.31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6350491.9800000004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6350491.9800000004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30457.8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30457.8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79.41</v>
      </c>
      <c r="G96" s="18"/>
      <c r="H96" s="18"/>
      <c r="I96" s="18"/>
      <c r="J96" s="18">
        <v>773.02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107568.54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13469.97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3685.5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17234.879999999997</v>
      </c>
      <c r="G111" s="41">
        <f>SUM(G96:G110)</f>
        <v>107568.54</v>
      </c>
      <c r="H111" s="41">
        <f>SUM(H96:H110)</f>
        <v>0</v>
      </c>
      <c r="I111" s="41">
        <f>SUM(I96:I110)</f>
        <v>0</v>
      </c>
      <c r="J111" s="41">
        <f>SUM(J96:J110)</f>
        <v>773.02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6398184.6600000001</v>
      </c>
      <c r="G112" s="41">
        <f>G60+G111</f>
        <v>107568.54</v>
      </c>
      <c r="H112" s="41">
        <f>H60+H79+H94+H111</f>
        <v>0</v>
      </c>
      <c r="I112" s="41">
        <f>I60+I111</f>
        <v>0</v>
      </c>
      <c r="J112" s="41">
        <f>J60+J111</f>
        <v>773.02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153294.41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1803993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1957287.41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2211.27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2211.27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1957287.41</v>
      </c>
      <c r="G140" s="41">
        <f>G121+SUM(G136:G137)</f>
        <v>2211.27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19762.25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3169.47+31200.99</f>
        <v>34370.46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2223.29+101.25+18549.72</f>
        <v>20874.260000000002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28189.06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752.57+102663.25+2.18+4158.53</f>
        <v>107576.53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39185.79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13192.51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39185.79</v>
      </c>
      <c r="G162" s="41">
        <f>SUM(G150:G161)</f>
        <v>41381.57</v>
      </c>
      <c r="H162" s="41">
        <f>SUM(H150:H161)</f>
        <v>182583.5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39185.79</v>
      </c>
      <c r="G169" s="41">
        <f>G147+G162+SUM(G163:G168)</f>
        <v>41381.57</v>
      </c>
      <c r="H169" s="41">
        <f>H147+H162+SUM(H163:H168)</f>
        <v>182583.5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3820.92</v>
      </c>
      <c r="H179" s="18"/>
      <c r="I179" s="18"/>
      <c r="J179" s="18">
        <v>170000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3820.92</v>
      </c>
      <c r="H183" s="41">
        <f>SUM(H179:H182)</f>
        <v>0</v>
      </c>
      <c r="I183" s="41">
        <f>SUM(I179:I182)</f>
        <v>0</v>
      </c>
      <c r="J183" s="41">
        <f>SUM(J179:J182)</f>
        <v>170000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75000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75000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75000</v>
      </c>
      <c r="G192" s="41">
        <f>G183+SUM(G188:G191)</f>
        <v>3820.92</v>
      </c>
      <c r="H192" s="41">
        <f>+H183+SUM(H188:H191)</f>
        <v>0</v>
      </c>
      <c r="I192" s="41">
        <f>I177+I183+SUM(I188:I191)</f>
        <v>0</v>
      </c>
      <c r="J192" s="41">
        <f>J183</f>
        <v>170000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8469657.8599999994</v>
      </c>
      <c r="G193" s="47">
        <f>G112+G140+G169+G192</f>
        <v>154982.30000000002</v>
      </c>
      <c r="H193" s="47">
        <f>H112+H140+H169+H192</f>
        <v>182583.5</v>
      </c>
      <c r="I193" s="47">
        <f>I112+I140+I169+I192</f>
        <v>0</v>
      </c>
      <c r="J193" s="47">
        <f>J112+J140+J192</f>
        <v>170773.02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2263595.02</v>
      </c>
      <c r="G197" s="18">
        <v>1052732.8400000001</v>
      </c>
      <c r="H197" s="18">
        <v>13379.92</v>
      </c>
      <c r="I197" s="18">
        <f>63829.43+3218.12+0.2</f>
        <v>67047.75</v>
      </c>
      <c r="J197" s="18">
        <f>1027.91+5136.53</f>
        <v>6164.44</v>
      </c>
      <c r="K197" s="18"/>
      <c r="L197" s="19">
        <f>SUM(F197:K197)</f>
        <v>3402919.97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1126607.79</v>
      </c>
      <c r="G198" s="18">
        <v>417004.99</v>
      </c>
      <c r="H198" s="18">
        <v>399736.37</v>
      </c>
      <c r="I198" s="18">
        <v>3004.6</v>
      </c>
      <c r="J198" s="18">
        <v>730.25</v>
      </c>
      <c r="K198" s="18">
        <v>779</v>
      </c>
      <c r="L198" s="19">
        <f>SUM(F198:K198)</f>
        <v>1947863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39332</v>
      </c>
      <c r="G200" s="18">
        <v>3008.9</v>
      </c>
      <c r="H200" s="18">
        <v>49837.97</v>
      </c>
      <c r="I200" s="18">
        <f>4544.09+160.99</f>
        <v>4705.08</v>
      </c>
      <c r="J200" s="18">
        <v>700.39</v>
      </c>
      <c r="K200" s="18">
        <v>4616.8999999999996</v>
      </c>
      <c r="L200" s="19">
        <f>SUM(F200:K200)</f>
        <v>102201.23999999999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127127+50836+108586.81</f>
        <v>286549.81</v>
      </c>
      <c r="G202" s="18">
        <v>114680.21</v>
      </c>
      <c r="H202" s="18">
        <f>414+2650</f>
        <v>3064</v>
      </c>
      <c r="I202" s="18">
        <f>154.88+2336.65+102.7+465.3</f>
        <v>3059.53</v>
      </c>
      <c r="J202" s="18">
        <v>479.88</v>
      </c>
      <c r="K202" s="18"/>
      <c r="L202" s="19">
        <f t="shared" ref="L202:L208" si="0">SUM(F202:K202)</f>
        <v>407833.43000000005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2998.6+127772.07+205593.27</f>
        <v>336363.94</v>
      </c>
      <c r="G203" s="18">
        <f>3722+108911.98</f>
        <v>112633.98</v>
      </c>
      <c r="H203" s="18">
        <f>11959.37+7489.87</f>
        <v>19449.240000000002</v>
      </c>
      <c r="I203" s="18">
        <f>30.57+24889.12+54711.98</f>
        <v>79631.67</v>
      </c>
      <c r="J203" s="18">
        <f>596+60523.03</f>
        <v>61119.03</v>
      </c>
      <c r="K203" s="18">
        <v>987.81</v>
      </c>
      <c r="L203" s="19">
        <f t="shared" si="0"/>
        <v>610185.67000000004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14420</v>
      </c>
      <c r="G204" s="18">
        <v>1103.1300000000001</v>
      </c>
      <c r="H204" s="18">
        <f>20896.36+218050</f>
        <v>238946.36</v>
      </c>
      <c r="I204" s="18"/>
      <c r="J204" s="18"/>
      <c r="K204" s="18">
        <v>4623.2299999999996</v>
      </c>
      <c r="L204" s="19">
        <f t="shared" si="0"/>
        <v>259092.72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252118.09</v>
      </c>
      <c r="G205" s="18">
        <v>101999.03999999999</v>
      </c>
      <c r="H205" s="18">
        <v>7766.22</v>
      </c>
      <c r="I205" s="18">
        <v>1934.91</v>
      </c>
      <c r="J205" s="18"/>
      <c r="K205" s="18">
        <v>1870</v>
      </c>
      <c r="L205" s="19">
        <f t="shared" si="0"/>
        <v>365688.25999999995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198962.36</v>
      </c>
      <c r="G207" s="18">
        <v>106711.75</v>
      </c>
      <c r="H207" s="18">
        <f>126415.39+31584.71+3539.19</f>
        <v>161539.29</v>
      </c>
      <c r="I207" s="18">
        <v>117816.38</v>
      </c>
      <c r="J207" s="18">
        <v>45963.65</v>
      </c>
      <c r="K207" s="18"/>
      <c r="L207" s="19">
        <f t="shared" si="0"/>
        <v>630993.43000000005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357732.51+5457.34+4300.77+5637.45</f>
        <v>373128.07000000007</v>
      </c>
      <c r="I208" s="18"/>
      <c r="J208" s="18"/>
      <c r="K208" s="18"/>
      <c r="L208" s="19">
        <f t="shared" si="0"/>
        <v>373128.07000000007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>
        <v>260.75</v>
      </c>
      <c r="L209" s="19">
        <f>SUM(F209:K209)</f>
        <v>260.75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4517949.0100000007</v>
      </c>
      <c r="G211" s="41">
        <f t="shared" si="1"/>
        <v>1909874.8399999999</v>
      </c>
      <c r="H211" s="41">
        <f t="shared" si="1"/>
        <v>1266847.44</v>
      </c>
      <c r="I211" s="41">
        <f t="shared" si="1"/>
        <v>277199.92000000004</v>
      </c>
      <c r="J211" s="41">
        <f t="shared" si="1"/>
        <v>115157.64000000001</v>
      </c>
      <c r="K211" s="41">
        <f t="shared" si="1"/>
        <v>13137.689999999999</v>
      </c>
      <c r="L211" s="41">
        <f t="shared" si="1"/>
        <v>8100166.54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79744.13</v>
      </c>
      <c r="I255" s="18"/>
      <c r="J255" s="18"/>
      <c r="K255" s="18">
        <v>2176</v>
      </c>
      <c r="L255" s="19">
        <f t="shared" si="6"/>
        <v>81920.13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79744.13</v>
      </c>
      <c r="I256" s="41">
        <f t="shared" si="7"/>
        <v>0</v>
      </c>
      <c r="J256" s="41">
        <f t="shared" si="7"/>
        <v>0</v>
      </c>
      <c r="K256" s="41">
        <f t="shared" si="7"/>
        <v>2176</v>
      </c>
      <c r="L256" s="41">
        <f>SUM(F256:K256)</f>
        <v>81920.13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4517949.0100000007</v>
      </c>
      <c r="G257" s="41">
        <f t="shared" si="8"/>
        <v>1909874.8399999999</v>
      </c>
      <c r="H257" s="41">
        <f t="shared" si="8"/>
        <v>1346591.5699999998</v>
      </c>
      <c r="I257" s="41">
        <f t="shared" si="8"/>
        <v>277199.92000000004</v>
      </c>
      <c r="J257" s="41">
        <f t="shared" si="8"/>
        <v>115157.64000000001</v>
      </c>
      <c r="K257" s="41">
        <f t="shared" si="8"/>
        <v>15313.689999999999</v>
      </c>
      <c r="L257" s="41">
        <f t="shared" si="8"/>
        <v>8182086.6699999999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90000</v>
      </c>
      <c r="L260" s="19">
        <f>SUM(F260:K260)</f>
        <v>90000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44742.5</v>
      </c>
      <c r="L261" s="19">
        <f>SUM(F261:K261)</f>
        <v>44742.5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3820.92</v>
      </c>
      <c r="L263" s="19">
        <f>SUM(F263:K263)</f>
        <v>3820.92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170000</v>
      </c>
      <c r="L266" s="19">
        <f t="shared" si="9"/>
        <v>170000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308563.42000000004</v>
      </c>
      <c r="L270" s="41">
        <f t="shared" si="9"/>
        <v>308563.42000000004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4517949.0100000007</v>
      </c>
      <c r="G271" s="42">
        <f t="shared" si="11"/>
        <v>1909874.8399999999</v>
      </c>
      <c r="H271" s="42">
        <f t="shared" si="11"/>
        <v>1346591.5699999998</v>
      </c>
      <c r="I271" s="42">
        <f t="shared" si="11"/>
        <v>277199.92000000004</v>
      </c>
      <c r="J271" s="42">
        <f t="shared" si="11"/>
        <v>115157.64000000001</v>
      </c>
      <c r="K271" s="42">
        <f t="shared" si="11"/>
        <v>323877.11000000004</v>
      </c>
      <c r="L271" s="42">
        <f t="shared" si="11"/>
        <v>8490650.0899999999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38994.24+2216.5</f>
        <v>41210.74</v>
      </c>
      <c r="G276" s="18">
        <f>4722.51+165.98+91.52</f>
        <v>4980.01</v>
      </c>
      <c r="H276" s="18">
        <f>1260+2490+4200.4</f>
        <v>7950.4</v>
      </c>
      <c r="I276" s="18">
        <f>3877.75+6325</f>
        <v>10202.75</v>
      </c>
      <c r="J276" s="18">
        <f>921.46+1599.39</f>
        <v>2520.8500000000004</v>
      </c>
      <c r="K276" s="18">
        <v>492</v>
      </c>
      <c r="L276" s="19">
        <f>SUM(F276:K276)</f>
        <v>67356.75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64850.92</v>
      </c>
      <c r="G277" s="18">
        <v>6277.07</v>
      </c>
      <c r="H277" s="18">
        <v>32792.400000000001</v>
      </c>
      <c r="I277" s="18">
        <v>1113.28</v>
      </c>
      <c r="J277" s="18"/>
      <c r="K277" s="18"/>
      <c r="L277" s="19">
        <f>SUM(F277:K277)</f>
        <v>105033.66999999998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667.5</v>
      </c>
      <c r="G279" s="18">
        <v>64.989999999999995</v>
      </c>
      <c r="H279" s="18"/>
      <c r="I279" s="18"/>
      <c r="J279" s="18"/>
      <c r="K279" s="18"/>
      <c r="L279" s="19">
        <f>SUM(F279:K279)</f>
        <v>732.49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5150.38</v>
      </c>
      <c r="G283" s="18">
        <v>430.84</v>
      </c>
      <c r="H283" s="18"/>
      <c r="I283" s="18"/>
      <c r="J283" s="18"/>
      <c r="K283" s="18">
        <v>3879.37</v>
      </c>
      <c r="L283" s="19">
        <f t="shared" si="12"/>
        <v>9460.59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111879.54000000001</v>
      </c>
      <c r="G290" s="42">
        <f t="shared" si="13"/>
        <v>11752.91</v>
      </c>
      <c r="H290" s="42">
        <f t="shared" si="13"/>
        <v>40742.800000000003</v>
      </c>
      <c r="I290" s="42">
        <f t="shared" si="13"/>
        <v>11316.03</v>
      </c>
      <c r="J290" s="42">
        <f t="shared" si="13"/>
        <v>2520.8500000000004</v>
      </c>
      <c r="K290" s="42">
        <f t="shared" si="13"/>
        <v>4371.37</v>
      </c>
      <c r="L290" s="41">
        <f t="shared" si="13"/>
        <v>182583.49999999997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111879.54000000001</v>
      </c>
      <c r="G338" s="41">
        <f t="shared" si="20"/>
        <v>11752.91</v>
      </c>
      <c r="H338" s="41">
        <f t="shared" si="20"/>
        <v>40742.800000000003</v>
      </c>
      <c r="I338" s="41">
        <f t="shared" si="20"/>
        <v>11316.03</v>
      </c>
      <c r="J338" s="41">
        <f t="shared" si="20"/>
        <v>2520.8500000000004</v>
      </c>
      <c r="K338" s="41">
        <f t="shared" si="20"/>
        <v>4371.37</v>
      </c>
      <c r="L338" s="41">
        <f t="shared" si="20"/>
        <v>182583.49999999997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111879.54000000001</v>
      </c>
      <c r="G352" s="41">
        <f>G338</f>
        <v>11752.91</v>
      </c>
      <c r="H352" s="41">
        <f>H338</f>
        <v>40742.800000000003</v>
      </c>
      <c r="I352" s="41">
        <f>I338</f>
        <v>11316.03</v>
      </c>
      <c r="J352" s="41">
        <f>J338</f>
        <v>2520.8500000000004</v>
      </c>
      <c r="K352" s="47">
        <f>K338+K351</f>
        <v>4371.37</v>
      </c>
      <c r="L352" s="41">
        <f>L338+L351</f>
        <v>182583.49999999997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45800.01+47668.15</f>
        <v>93468.160000000003</v>
      </c>
      <c r="G358" s="18"/>
      <c r="H358" s="18">
        <v>1863.48</v>
      </c>
      <c r="I358" s="18">
        <f>2767.92+47150.1+13192.51+1357.52</f>
        <v>64468.049999999996</v>
      </c>
      <c r="J358" s="18">
        <v>1364.14</v>
      </c>
      <c r="K358" s="18">
        <v>1140</v>
      </c>
      <c r="L358" s="13">
        <f>SUM(F358:K358)</f>
        <v>162303.83000000002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93468.160000000003</v>
      </c>
      <c r="G362" s="47">
        <f t="shared" si="22"/>
        <v>0</v>
      </c>
      <c r="H362" s="47">
        <f t="shared" si="22"/>
        <v>1863.48</v>
      </c>
      <c r="I362" s="47">
        <f t="shared" si="22"/>
        <v>64468.049999999996</v>
      </c>
      <c r="J362" s="47">
        <f t="shared" si="22"/>
        <v>1364.14</v>
      </c>
      <c r="K362" s="47">
        <f t="shared" si="22"/>
        <v>1140</v>
      </c>
      <c r="L362" s="47">
        <f t="shared" si="22"/>
        <v>162303.83000000002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47150.1+13192.51</f>
        <v>60342.61</v>
      </c>
      <c r="G367" s="18"/>
      <c r="H367" s="18"/>
      <c r="I367" s="56">
        <f>SUM(F367:H367)</f>
        <v>60342.61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2767.92+1357.52</f>
        <v>4125.4400000000005</v>
      </c>
      <c r="G368" s="63"/>
      <c r="H368" s="63"/>
      <c r="I368" s="56">
        <f>SUM(F368:H368)</f>
        <v>4125.4400000000005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64468.05</v>
      </c>
      <c r="G369" s="47">
        <f>SUM(G367:G368)</f>
        <v>0</v>
      </c>
      <c r="H369" s="47">
        <f>SUM(H367:H368)</f>
        <v>0</v>
      </c>
      <c r="I369" s="47">
        <f>SUM(I367:I368)</f>
        <v>64468.05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0.61</v>
      </c>
      <c r="I389" s="18"/>
      <c r="J389" s="24" t="s">
        <v>288</v>
      </c>
      <c r="K389" s="24" t="s">
        <v>288</v>
      </c>
      <c r="L389" s="56">
        <f t="shared" si="25"/>
        <v>0.61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0.61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0.61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>
        <v>25000</v>
      </c>
      <c r="H395" s="18">
        <v>189.18</v>
      </c>
      <c r="I395" s="18"/>
      <c r="J395" s="24" t="s">
        <v>288</v>
      </c>
      <c r="K395" s="24" t="s">
        <v>288</v>
      </c>
      <c r="L395" s="56">
        <f t="shared" ref="L395:L400" si="26">SUM(F395:K395)</f>
        <v>25189.18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224.89</v>
      </c>
      <c r="I396" s="18"/>
      <c r="J396" s="24" t="s">
        <v>288</v>
      </c>
      <c r="K396" s="24" t="s">
        <v>288</v>
      </c>
      <c r="L396" s="56">
        <f t="shared" si="26"/>
        <v>25224.89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75000</v>
      </c>
      <c r="H397" s="18">
        <v>122.42</v>
      </c>
      <c r="I397" s="18"/>
      <c r="J397" s="24" t="s">
        <v>288</v>
      </c>
      <c r="K397" s="24" t="s">
        <v>288</v>
      </c>
      <c r="L397" s="56">
        <f t="shared" si="26"/>
        <v>75122.42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32.64</v>
      </c>
      <c r="I399" s="18"/>
      <c r="J399" s="24" t="s">
        <v>288</v>
      </c>
      <c r="K399" s="24" t="s">
        <v>288</v>
      </c>
      <c r="L399" s="56">
        <f t="shared" si="26"/>
        <v>32.64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45000</v>
      </c>
      <c r="H400" s="18">
        <v>203.28</v>
      </c>
      <c r="I400" s="18"/>
      <c r="J400" s="24" t="s">
        <v>288</v>
      </c>
      <c r="K400" s="24" t="s">
        <v>288</v>
      </c>
      <c r="L400" s="56">
        <f t="shared" si="26"/>
        <v>45203.28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170000</v>
      </c>
      <c r="H401" s="47">
        <f>SUM(H395:H400)</f>
        <v>772.41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170772.40999999997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170000</v>
      </c>
      <c r="H408" s="47">
        <f>H393+H401+H407</f>
        <v>773.02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170773.01999999996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75000</v>
      </c>
      <c r="L423" s="56">
        <f t="shared" si="29"/>
        <v>75000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75000</v>
      </c>
      <c r="L427" s="47">
        <f t="shared" si="30"/>
        <v>75000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75000</v>
      </c>
      <c r="L434" s="47">
        <f t="shared" si="32"/>
        <v>75000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329780.31</v>
      </c>
      <c r="H440" s="18"/>
      <c r="I440" s="56">
        <f t="shared" si="33"/>
        <v>329780.31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329780.31</v>
      </c>
      <c r="H446" s="13">
        <f>SUM(H439:H445)</f>
        <v>0</v>
      </c>
      <c r="I446" s="13">
        <f>SUM(I439:I445)</f>
        <v>329780.31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329780.31</v>
      </c>
      <c r="H459" s="18"/>
      <c r="I459" s="56">
        <f t="shared" si="34"/>
        <v>329780.31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329780.31</v>
      </c>
      <c r="H460" s="83">
        <f>SUM(H454:H459)</f>
        <v>0</v>
      </c>
      <c r="I460" s="83">
        <f>SUM(I454:I459)</f>
        <v>329780.31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329780.31</v>
      </c>
      <c r="H461" s="42">
        <f>H452+H460</f>
        <v>0</v>
      </c>
      <c r="I461" s="42">
        <f>I452+I460</f>
        <v>329780.31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271673.2</v>
      </c>
      <c r="G465" s="18">
        <v>7321.53</v>
      </c>
      <c r="H465" s="18">
        <v>0</v>
      </c>
      <c r="I465" s="18">
        <v>0</v>
      </c>
      <c r="J465" s="18">
        <v>234007.29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8469657.8599999994</v>
      </c>
      <c r="G468" s="18">
        <v>154982.29999999999</v>
      </c>
      <c r="H468" s="18">
        <v>182583.5</v>
      </c>
      <c r="I468" s="18"/>
      <c r="J468" s="18">
        <v>170773.02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8469657.8599999994</v>
      </c>
      <c r="G470" s="53">
        <f>SUM(G468:G469)</f>
        <v>154982.29999999999</v>
      </c>
      <c r="H470" s="53">
        <f>SUM(H468:H469)</f>
        <v>182583.5</v>
      </c>
      <c r="I470" s="53">
        <f>SUM(I468:I469)</f>
        <v>0</v>
      </c>
      <c r="J470" s="53">
        <f>SUM(J468:J469)</f>
        <v>170773.02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8490650.0899999999</v>
      </c>
      <c r="G472" s="18">
        <v>162303.82999999999</v>
      </c>
      <c r="H472" s="18">
        <v>182583.5</v>
      </c>
      <c r="I472" s="18"/>
      <c r="J472" s="18">
        <v>75000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8490650.0899999999</v>
      </c>
      <c r="G474" s="53">
        <f>SUM(G472:G473)</f>
        <v>162303.82999999999</v>
      </c>
      <c r="H474" s="53">
        <f>SUM(H472:H473)</f>
        <v>182583.5</v>
      </c>
      <c r="I474" s="53">
        <f>SUM(I472:I473)</f>
        <v>0</v>
      </c>
      <c r="J474" s="53">
        <f>SUM(J472:J473)</f>
        <v>75000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250680.96999999881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329780.31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1200000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2.61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875000</v>
      </c>
      <c r="G495" s="18"/>
      <c r="H495" s="18"/>
      <c r="I495" s="18"/>
      <c r="J495" s="18"/>
      <c r="K495" s="53">
        <f>SUM(F495:J495)</f>
        <v>875000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134742.5</v>
      </c>
      <c r="G497" s="18"/>
      <c r="H497" s="18"/>
      <c r="I497" s="18"/>
      <c r="J497" s="18"/>
      <c r="K497" s="53">
        <f t="shared" si="35"/>
        <v>134742.5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785000</v>
      </c>
      <c r="G498" s="204"/>
      <c r="H498" s="204"/>
      <c r="I498" s="204"/>
      <c r="J498" s="204"/>
      <c r="K498" s="205">
        <f t="shared" si="35"/>
        <v>785000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161923.75</v>
      </c>
      <c r="G499" s="18"/>
      <c r="H499" s="18"/>
      <c r="I499" s="18"/>
      <c r="J499" s="18"/>
      <c r="K499" s="53">
        <f t="shared" si="35"/>
        <v>161923.75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946923.75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946923.75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95000</v>
      </c>
      <c r="G501" s="204"/>
      <c r="H501" s="204"/>
      <c r="I501" s="204"/>
      <c r="J501" s="204"/>
      <c r="K501" s="205">
        <f t="shared" si="35"/>
        <v>95000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21111.25+18451.25</f>
        <v>39562.5</v>
      </c>
      <c r="G502" s="18"/>
      <c r="H502" s="18"/>
      <c r="I502" s="18"/>
      <c r="J502" s="18"/>
      <c r="K502" s="53">
        <f t="shared" si="35"/>
        <v>39562.5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134562.5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134562.5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575272.66+399628.14+56812.92+8038</f>
        <v>1039751.7200000001</v>
      </c>
      <c r="G521" s="18">
        <f>230623.02+125952.67+6277.07</f>
        <v>362852.76</v>
      </c>
      <c r="H521" s="18">
        <f>399736.37-3915.01</f>
        <v>395821.36</v>
      </c>
      <c r="I521" s="18">
        <v>3004.6</v>
      </c>
      <c r="J521" s="18">
        <v>730.25</v>
      </c>
      <c r="K521" s="18"/>
      <c r="L521" s="88">
        <f>SUM(F521:K521)</f>
        <v>1802160.69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1039751.7200000001</v>
      </c>
      <c r="G524" s="108">
        <f t="shared" ref="G524:L524" si="36">SUM(G521:G523)</f>
        <v>362852.76</v>
      </c>
      <c r="H524" s="108">
        <f t="shared" si="36"/>
        <v>395821.36</v>
      </c>
      <c r="I524" s="108">
        <f t="shared" si="36"/>
        <v>3004.6</v>
      </c>
      <c r="J524" s="108">
        <f t="shared" si="36"/>
        <v>730.25</v>
      </c>
      <c r="K524" s="108">
        <f t="shared" si="36"/>
        <v>0</v>
      </c>
      <c r="L524" s="89">
        <f t="shared" si="36"/>
        <v>1802160.69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78010+76792.81+31794</f>
        <v>186596.81</v>
      </c>
      <c r="G526" s="18">
        <f>38616.43+26824+21212</f>
        <v>86652.43</v>
      </c>
      <c r="H526" s="18"/>
      <c r="I526" s="18">
        <v>102.7</v>
      </c>
      <c r="J526" s="18"/>
      <c r="K526" s="18"/>
      <c r="L526" s="88">
        <f>SUM(F526:K526)</f>
        <v>273351.94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186596.81</v>
      </c>
      <c r="G529" s="89">
        <f t="shared" ref="G529:L529" si="37">SUM(G526:G528)</f>
        <v>86652.43</v>
      </c>
      <c r="H529" s="89">
        <f t="shared" si="37"/>
        <v>0</v>
      </c>
      <c r="I529" s="89">
        <f t="shared" si="37"/>
        <v>102.7</v>
      </c>
      <c r="J529" s="89">
        <f t="shared" si="37"/>
        <v>0</v>
      </c>
      <c r="K529" s="89">
        <f t="shared" si="37"/>
        <v>0</v>
      </c>
      <c r="L529" s="89">
        <f t="shared" si="37"/>
        <v>273351.94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42782.91+30914.08</f>
        <v>73696.990000000005</v>
      </c>
      <c r="G531" s="18">
        <f>13915.16+7897.71</f>
        <v>21812.87</v>
      </c>
      <c r="H531" s="18"/>
      <c r="I531" s="18"/>
      <c r="J531" s="18"/>
      <c r="K531" s="18">
        <v>779</v>
      </c>
      <c r="L531" s="88">
        <f>SUM(F531:K531)</f>
        <v>96288.86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73696.990000000005</v>
      </c>
      <c r="G534" s="89">
        <f t="shared" ref="G534:L534" si="38">SUM(G531:G533)</f>
        <v>21812.87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779</v>
      </c>
      <c r="L534" s="89">
        <f t="shared" si="38"/>
        <v>96288.86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3915.01</v>
      </c>
      <c r="I536" s="18"/>
      <c r="J536" s="18"/>
      <c r="K536" s="18"/>
      <c r="L536" s="88">
        <f>SUM(F536:K536)</f>
        <v>3915.01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3915.01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3915.01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5457.34</v>
      </c>
      <c r="I541" s="18"/>
      <c r="J541" s="18"/>
      <c r="K541" s="18"/>
      <c r="L541" s="88">
        <f>SUM(F541:K541)</f>
        <v>5457.34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5457.34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5457.34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1300045.52</v>
      </c>
      <c r="G545" s="89">
        <f t="shared" ref="G545:L545" si="41">G524+G529+G534+G539+G544</f>
        <v>471318.06</v>
      </c>
      <c r="H545" s="89">
        <f t="shared" si="41"/>
        <v>405193.71</v>
      </c>
      <c r="I545" s="89">
        <f t="shared" si="41"/>
        <v>3107.2999999999997</v>
      </c>
      <c r="J545" s="89">
        <f t="shared" si="41"/>
        <v>730.25</v>
      </c>
      <c r="K545" s="89">
        <f t="shared" si="41"/>
        <v>779</v>
      </c>
      <c r="L545" s="89">
        <f t="shared" si="41"/>
        <v>2181173.8399999994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1802160.69</v>
      </c>
      <c r="G549" s="87">
        <f>L526</f>
        <v>273351.94</v>
      </c>
      <c r="H549" s="87">
        <f>L531</f>
        <v>96288.86</v>
      </c>
      <c r="I549" s="87">
        <f>L536</f>
        <v>3915.01</v>
      </c>
      <c r="J549" s="87">
        <f>L541</f>
        <v>5457.34</v>
      </c>
      <c r="K549" s="87">
        <f>SUM(F549:J549)</f>
        <v>2181173.8399999994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1802160.69</v>
      </c>
      <c r="G552" s="89">
        <f t="shared" si="42"/>
        <v>273351.94</v>
      </c>
      <c r="H552" s="89">
        <f t="shared" si="42"/>
        <v>96288.86</v>
      </c>
      <c r="I552" s="89">
        <f t="shared" si="42"/>
        <v>3915.01</v>
      </c>
      <c r="J552" s="89">
        <f t="shared" si="42"/>
        <v>5457.34</v>
      </c>
      <c r="K552" s="89">
        <f t="shared" si="42"/>
        <v>2181173.8399999994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54298.8+21500</f>
        <v>75798.8</v>
      </c>
      <c r="G582" s="18"/>
      <c r="H582" s="18"/>
      <c r="I582" s="87">
        <f t="shared" si="47"/>
        <v>75798.8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f>176493.28+25920.79</f>
        <v>202414.07</v>
      </c>
      <c r="G583" s="18"/>
      <c r="H583" s="18"/>
      <c r="I583" s="87">
        <f t="shared" si="47"/>
        <v>202414.07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357732.51</v>
      </c>
      <c r="I591" s="18"/>
      <c r="J591" s="18"/>
      <c r="K591" s="104">
        <f t="shared" ref="K591:K597" si="48">SUM(H591:J591)</f>
        <v>357732.51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5457.34</v>
      </c>
      <c r="I592" s="18"/>
      <c r="J592" s="18"/>
      <c r="K592" s="104">
        <f t="shared" si="48"/>
        <v>5457.34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4300.7700000000004</v>
      </c>
      <c r="I594" s="18"/>
      <c r="J594" s="18"/>
      <c r="K594" s="104">
        <f t="shared" si="48"/>
        <v>4300.7700000000004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5637.45</v>
      </c>
      <c r="I595" s="18"/>
      <c r="J595" s="18"/>
      <c r="K595" s="104">
        <f t="shared" si="48"/>
        <v>5637.45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373128.07000000007</v>
      </c>
      <c r="I598" s="108">
        <f>SUM(I591:I597)</f>
        <v>0</v>
      </c>
      <c r="J598" s="108">
        <f>SUM(J591:J597)</f>
        <v>0</v>
      </c>
      <c r="K598" s="108">
        <f>SUM(K591:K597)</f>
        <v>373128.07000000007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109320.72+921.46+1599.39+5136.53+700.39</f>
        <v>117678.49</v>
      </c>
      <c r="I604" s="18"/>
      <c r="J604" s="18"/>
      <c r="K604" s="104">
        <f>SUM(H604:J604)</f>
        <v>117678.49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117678.49</v>
      </c>
      <c r="I605" s="108">
        <f>SUM(I602:I604)</f>
        <v>0</v>
      </c>
      <c r="J605" s="108">
        <f>SUM(J602:J604)</f>
        <v>0</v>
      </c>
      <c r="K605" s="108">
        <f>SUM(K602:K604)</f>
        <v>117678.49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313797.06999999995</v>
      </c>
      <c r="H617" s="109">
        <f>SUM(F52)</f>
        <v>313797.07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10855.380000000001</v>
      </c>
      <c r="H618" s="109">
        <f>SUM(G52)</f>
        <v>10855.380000000001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28987.06</v>
      </c>
      <c r="H619" s="109">
        <f>SUM(H52)</f>
        <v>28987.059999999998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329780.31</v>
      </c>
      <c r="H621" s="109">
        <f>SUM(J52)</f>
        <v>329780.31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250680.97</v>
      </c>
      <c r="H622" s="109">
        <f>F476</f>
        <v>250680.96999999881</v>
      </c>
      <c r="I622" s="121" t="s">
        <v>101</v>
      </c>
      <c r="J622" s="109">
        <f t="shared" ref="J622:J655" si="50">G622-H622</f>
        <v>1.1932570487260818E-9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329780.31</v>
      </c>
      <c r="H626" s="109">
        <f>J476</f>
        <v>329780.31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8469657.8599999994</v>
      </c>
      <c r="H627" s="104">
        <f>SUM(F468)</f>
        <v>8469657.8599999994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154982.30000000002</v>
      </c>
      <c r="H628" s="104">
        <f>SUM(G468)</f>
        <v>154982.29999999999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182583.5</v>
      </c>
      <c r="H629" s="104">
        <f>SUM(H468)</f>
        <v>182583.5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170773.02</v>
      </c>
      <c r="H631" s="104">
        <f>SUM(J468)</f>
        <v>170773.02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8490650.0899999999</v>
      </c>
      <c r="H632" s="104">
        <f>SUM(F472)</f>
        <v>8490650.0899999999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182583.49999999997</v>
      </c>
      <c r="H633" s="104">
        <f>SUM(H472)</f>
        <v>182583.5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64468.049999999996</v>
      </c>
      <c r="H634" s="104">
        <f>I369</f>
        <v>64468.05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162303.83000000002</v>
      </c>
      <c r="H635" s="104">
        <f>SUM(G472)</f>
        <v>162303.82999999999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170773.01999999996</v>
      </c>
      <c r="H637" s="164">
        <f>SUM(J468)</f>
        <v>170773.02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75000</v>
      </c>
      <c r="H638" s="164">
        <f>SUM(J472)</f>
        <v>75000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329780.31</v>
      </c>
      <c r="H640" s="104">
        <f>SUM(G461)</f>
        <v>329780.31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329780.31</v>
      </c>
      <c r="H642" s="104">
        <f>SUM(I461)</f>
        <v>329780.31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773.02</v>
      </c>
      <c r="H644" s="104">
        <f>H408</f>
        <v>773.02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170000</v>
      </c>
      <c r="H645" s="104">
        <f>G408</f>
        <v>170000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170773.02</v>
      </c>
      <c r="H646" s="104">
        <f>L408</f>
        <v>170773.01999999996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373128.07000000007</v>
      </c>
      <c r="H647" s="104">
        <f>L208+L226+L244</f>
        <v>373128.07000000007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117678.49</v>
      </c>
      <c r="H648" s="104">
        <f>(J257+J338)-(J255+J336)</f>
        <v>117678.49000000002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373128.07000000007</v>
      </c>
      <c r="H649" s="104">
        <f>H598</f>
        <v>373128.07000000007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3820.92</v>
      </c>
      <c r="H652" s="104">
        <f>K263+K345</f>
        <v>3820.92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170000</v>
      </c>
      <c r="H655" s="104">
        <f>K266+K347</f>
        <v>170000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8445053.8699999992</v>
      </c>
      <c r="G660" s="19">
        <f>(L229+L309+L359)</f>
        <v>0</v>
      </c>
      <c r="H660" s="19">
        <f>(L247+L328+L360)</f>
        <v>0</v>
      </c>
      <c r="I660" s="19">
        <f>SUM(F660:H660)</f>
        <v>8445053.8699999992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107568.54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107568.54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373128.07000000007</v>
      </c>
      <c r="G662" s="19">
        <f>(L226+L306)-(J226+J306)</f>
        <v>0</v>
      </c>
      <c r="H662" s="19">
        <f>(L244+L325)-(J244+J325)</f>
        <v>0</v>
      </c>
      <c r="I662" s="19">
        <f>SUM(F662:H662)</f>
        <v>373128.07000000007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395891.36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395891.36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7568465.8999999994</v>
      </c>
      <c r="G664" s="19">
        <f>G660-SUM(G661:G663)</f>
        <v>0</v>
      </c>
      <c r="H664" s="19">
        <f>H660-SUM(H661:H663)</f>
        <v>0</v>
      </c>
      <c r="I664" s="19">
        <f>I660-SUM(I661:I663)</f>
        <v>7568465.8999999994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389</v>
      </c>
      <c r="G665" s="248"/>
      <c r="H665" s="248"/>
      <c r="I665" s="19">
        <f>SUM(F665:H665)</f>
        <v>389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19456.21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19456.21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19456.21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19456.21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NORTH HAMPTON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2304805.7600000002</v>
      </c>
      <c r="C9" s="229">
        <f>'DOE25'!G197+'DOE25'!G215+'DOE25'!G233+'DOE25'!G276+'DOE25'!G295+'DOE25'!G314</f>
        <v>1057712.8500000001</v>
      </c>
    </row>
    <row r="10" spans="1:3" x14ac:dyDescent="0.2">
      <c r="A10" t="s">
        <v>778</v>
      </c>
      <c r="B10" s="240">
        <f>2220960.62+16822.84+2216.5</f>
        <v>2239999.96</v>
      </c>
      <c r="C10" s="240">
        <f>1049470.41+2736.34+257.5</f>
        <v>1052464.25</v>
      </c>
    </row>
    <row r="11" spans="1:3" x14ac:dyDescent="0.2">
      <c r="A11" t="s">
        <v>779</v>
      </c>
      <c r="B11" s="240">
        <f>200+1095+21076.4</f>
        <v>22371.4</v>
      </c>
      <c r="C11" s="240">
        <f>16.2+1986.17</f>
        <v>2002.3700000000001</v>
      </c>
    </row>
    <row r="12" spans="1:3" x14ac:dyDescent="0.2">
      <c r="A12" t="s">
        <v>780</v>
      </c>
      <c r="B12" s="240">
        <f>42434.4</f>
        <v>42434.400000000001</v>
      </c>
      <c r="C12" s="240">
        <f>3246.23</f>
        <v>3246.23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2304805.7599999998</v>
      </c>
      <c r="C13" s="231">
        <f>SUM(C10:C12)</f>
        <v>1057712.8500000001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1191458.71</v>
      </c>
      <c r="C18" s="229">
        <f>'DOE25'!G198+'DOE25'!G216+'DOE25'!G234+'DOE25'!G277+'DOE25'!G296+'DOE25'!G315</f>
        <v>423282.06</v>
      </c>
    </row>
    <row r="19" spans="1:3" x14ac:dyDescent="0.2">
      <c r="A19" t="s">
        <v>778</v>
      </c>
      <c r="B19" s="240">
        <f>575272.66+78010+56812.92</f>
        <v>710095.58000000007</v>
      </c>
      <c r="C19" s="240">
        <f>230623.02+5662.17</f>
        <v>236285.19</v>
      </c>
    </row>
    <row r="20" spans="1:3" x14ac:dyDescent="0.2">
      <c r="A20" t="s">
        <v>779</v>
      </c>
      <c r="B20" s="240">
        <v>399628.14</v>
      </c>
      <c r="C20" s="240">
        <f>125952.67+614.9</f>
        <v>126567.56999999999</v>
      </c>
    </row>
    <row r="21" spans="1:3" x14ac:dyDescent="0.2">
      <c r="A21" t="s">
        <v>780</v>
      </c>
      <c r="B21" s="240">
        <f>42782.91+30914.08+8038</f>
        <v>81734.990000000005</v>
      </c>
      <c r="C21" s="240">
        <f>13915.16+38616.43+7897.71</f>
        <v>60429.299999999996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1191458.7100000002</v>
      </c>
      <c r="C22" s="231">
        <f>SUM(C19:C21)</f>
        <v>423282.06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39999.5</v>
      </c>
      <c r="C36" s="235">
        <f>'DOE25'!G200+'DOE25'!G218+'DOE25'!G236+'DOE25'!G279+'DOE25'!G298+'DOE25'!G317</f>
        <v>3073.89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f>39332+667.5</f>
        <v>39999.5</v>
      </c>
      <c r="C39" s="240">
        <f>3008.9+64.99</f>
        <v>3073.89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39999.5</v>
      </c>
      <c r="C40" s="231">
        <f>SUM(C37:C39)</f>
        <v>3073.89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NORTH HAMPTON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5452984.2100000009</v>
      </c>
      <c r="D5" s="20">
        <f>SUM('DOE25'!L197:L200)+SUM('DOE25'!L215:L218)+SUM('DOE25'!L233:L236)-F5-G5</f>
        <v>5439993.2300000004</v>
      </c>
      <c r="E5" s="243"/>
      <c r="F5" s="255">
        <f>SUM('DOE25'!J197:J200)+SUM('DOE25'!J215:J218)+SUM('DOE25'!J233:J236)</f>
        <v>7595.08</v>
      </c>
      <c r="G5" s="53">
        <f>SUM('DOE25'!K197:K200)+SUM('DOE25'!K215:K218)+SUM('DOE25'!K233:K236)</f>
        <v>5395.9</v>
      </c>
      <c r="H5" s="259"/>
    </row>
    <row r="6" spans="1:9" x14ac:dyDescent="0.2">
      <c r="A6" s="32">
        <v>2100</v>
      </c>
      <c r="B6" t="s">
        <v>800</v>
      </c>
      <c r="C6" s="245">
        <f t="shared" si="0"/>
        <v>407833.43000000005</v>
      </c>
      <c r="D6" s="20">
        <f>'DOE25'!L202+'DOE25'!L220+'DOE25'!L238-F6-G6</f>
        <v>407353.55000000005</v>
      </c>
      <c r="E6" s="243"/>
      <c r="F6" s="255">
        <f>'DOE25'!J202+'DOE25'!J220+'DOE25'!J238</f>
        <v>479.88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610185.67000000004</v>
      </c>
      <c r="D7" s="20">
        <f>'DOE25'!L203+'DOE25'!L221+'DOE25'!L239-F7-G7</f>
        <v>548078.82999999996</v>
      </c>
      <c r="E7" s="243"/>
      <c r="F7" s="255">
        <f>'DOE25'!J203+'DOE25'!J221+'DOE25'!J239</f>
        <v>61119.03</v>
      </c>
      <c r="G7" s="53">
        <f>'DOE25'!K203+'DOE25'!K221+'DOE25'!K239</f>
        <v>987.81</v>
      </c>
      <c r="H7" s="259"/>
    </row>
    <row r="8" spans="1:9" x14ac:dyDescent="0.2">
      <c r="A8" s="32">
        <v>2300</v>
      </c>
      <c r="B8" t="s">
        <v>801</v>
      </c>
      <c r="C8" s="245">
        <f t="shared" si="0"/>
        <v>153458.16</v>
      </c>
      <c r="D8" s="243"/>
      <c r="E8" s="20">
        <f>'DOE25'!L204+'DOE25'!L222+'DOE25'!L240-F8-G8-D9-D11</f>
        <v>148834.93</v>
      </c>
      <c r="F8" s="255">
        <f>'DOE25'!J204+'DOE25'!J222+'DOE25'!J240</f>
        <v>0</v>
      </c>
      <c r="G8" s="53">
        <f>'DOE25'!K204+'DOE25'!K222+'DOE25'!K240</f>
        <v>4623.2299999999996</v>
      </c>
      <c r="H8" s="259"/>
    </row>
    <row r="9" spans="1:9" x14ac:dyDescent="0.2">
      <c r="A9" s="32">
        <v>2310</v>
      </c>
      <c r="B9" t="s">
        <v>817</v>
      </c>
      <c r="C9" s="245">
        <f t="shared" si="0"/>
        <v>39939.589999999997</v>
      </c>
      <c r="D9" s="244">
        <v>39939.589999999997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7900</v>
      </c>
      <c r="D10" s="243"/>
      <c r="E10" s="244">
        <v>7900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65694.97</v>
      </c>
      <c r="D11" s="244">
        <v>65694.97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365688.25999999995</v>
      </c>
      <c r="D12" s="20">
        <f>'DOE25'!L205+'DOE25'!L223+'DOE25'!L241-F12-G12</f>
        <v>363818.25999999995</v>
      </c>
      <c r="E12" s="243"/>
      <c r="F12" s="255">
        <f>'DOE25'!J205+'DOE25'!J223+'DOE25'!J241</f>
        <v>0</v>
      </c>
      <c r="G12" s="53">
        <f>'DOE25'!K205+'DOE25'!K223+'DOE25'!K241</f>
        <v>1870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630993.43000000005</v>
      </c>
      <c r="D14" s="20">
        <f>'DOE25'!L207+'DOE25'!L225+'DOE25'!L243-F14-G14</f>
        <v>585029.78</v>
      </c>
      <c r="E14" s="243"/>
      <c r="F14" s="255">
        <f>'DOE25'!J207+'DOE25'!J225+'DOE25'!J243</f>
        <v>45963.65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373128.07000000007</v>
      </c>
      <c r="D15" s="20">
        <f>'DOE25'!L208+'DOE25'!L226+'DOE25'!L244-F15-G15</f>
        <v>373128.07000000007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260.75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260.75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81920.13</v>
      </c>
      <c r="D22" s="243"/>
      <c r="E22" s="243"/>
      <c r="F22" s="255">
        <f>'DOE25'!L255+'DOE25'!L336</f>
        <v>81920.13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134742.5</v>
      </c>
      <c r="D25" s="243"/>
      <c r="E25" s="243"/>
      <c r="F25" s="258"/>
      <c r="G25" s="256"/>
      <c r="H25" s="257">
        <f>'DOE25'!L260+'DOE25'!L261+'DOE25'!L341+'DOE25'!L342</f>
        <v>134742.5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101961.22000000002</v>
      </c>
      <c r="D29" s="20">
        <f>'DOE25'!L358+'DOE25'!L359+'DOE25'!L360-'DOE25'!I367-F29-G29</f>
        <v>99457.080000000016</v>
      </c>
      <c r="E29" s="243"/>
      <c r="F29" s="255">
        <f>'DOE25'!J358+'DOE25'!J359+'DOE25'!J360</f>
        <v>1364.14</v>
      </c>
      <c r="G29" s="53">
        <f>'DOE25'!K358+'DOE25'!K359+'DOE25'!K360</f>
        <v>1140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182583.49999999997</v>
      </c>
      <c r="D31" s="20">
        <f>'DOE25'!L290+'DOE25'!L309+'DOE25'!L328+'DOE25'!L333+'DOE25'!L334+'DOE25'!L335-F31-G31</f>
        <v>175691.27999999997</v>
      </c>
      <c r="E31" s="243"/>
      <c r="F31" s="255">
        <f>'DOE25'!J290+'DOE25'!J309+'DOE25'!J328+'DOE25'!J333+'DOE25'!J334+'DOE25'!J335</f>
        <v>2520.8500000000004</v>
      </c>
      <c r="G31" s="53">
        <f>'DOE25'!K290+'DOE25'!K309+'DOE25'!K328+'DOE25'!K333+'DOE25'!K334+'DOE25'!K335</f>
        <v>4371.37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8098184.6400000006</v>
      </c>
      <c r="E33" s="246">
        <f>SUM(E5:E31)</f>
        <v>156734.93</v>
      </c>
      <c r="F33" s="246">
        <f>SUM(F5:F31)</f>
        <v>200962.76000000004</v>
      </c>
      <c r="G33" s="246">
        <f>SUM(G5:G31)</f>
        <v>18649.059999999998</v>
      </c>
      <c r="H33" s="246">
        <f>SUM(H5:H31)</f>
        <v>134742.5</v>
      </c>
    </row>
    <row r="35" spans="2:8" ht="12" thickBot="1" x14ac:dyDescent="0.25">
      <c r="B35" s="253" t="s">
        <v>846</v>
      </c>
      <c r="D35" s="254">
        <f>E33</f>
        <v>156734.93</v>
      </c>
      <c r="E35" s="249"/>
    </row>
    <row r="36" spans="2:8" ht="12" thickTop="1" x14ac:dyDescent="0.2">
      <c r="B36" t="s">
        <v>814</v>
      </c>
      <c r="D36" s="20">
        <f>D33</f>
        <v>8098184.6400000006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5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267752.39999999997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329780.31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34335.47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1848.5</v>
      </c>
      <c r="D12" s="95">
        <f>'DOE25'!G13</f>
        <v>2063.62</v>
      </c>
      <c r="E12" s="95">
        <f>'DOE25'!H13</f>
        <v>28987.06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1388.85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8791.76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8471.85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313797.06999999995</v>
      </c>
      <c r="D18" s="41">
        <f>SUM(D8:D17)</f>
        <v>10855.380000000001</v>
      </c>
      <c r="E18" s="41">
        <f>SUM(E8:E17)</f>
        <v>28987.06</v>
      </c>
      <c r="F18" s="41">
        <f>SUM(F8:F17)</f>
        <v>0</v>
      </c>
      <c r="G18" s="41">
        <f>SUM(G8:G17)</f>
        <v>329780.31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27301.52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7033.95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10968.65</v>
      </c>
      <c r="D23" s="95">
        <f>'DOE25'!G24</f>
        <v>382.98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7082.29</v>
      </c>
      <c r="D27" s="95">
        <f>'DOE25'!G28</f>
        <v>133.77000000000001</v>
      </c>
      <c r="E27" s="95">
        <f>'DOE25'!H28</f>
        <v>1565.76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45065.159999999996</v>
      </c>
      <c r="D28" s="95">
        <f>'DOE25'!G29</f>
        <v>0</v>
      </c>
      <c r="E28" s="95">
        <f>'DOE25'!H29</f>
        <v>119.78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3304.68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63116.099999999991</v>
      </c>
      <c r="D31" s="41">
        <f>SUM(D21:D30)</f>
        <v>10855.380000000001</v>
      </c>
      <c r="E31" s="41">
        <f>SUM(E21:E30)</f>
        <v>28987.059999999998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8791.76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8471.85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-8791.76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14430.83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329780.31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4335.07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123443.22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250680.97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329780.31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313797.07</v>
      </c>
      <c r="D51" s="41">
        <f>D50+D31</f>
        <v>10855.380000000001</v>
      </c>
      <c r="E51" s="41">
        <f>E50+E31</f>
        <v>28987.059999999998</v>
      </c>
      <c r="F51" s="41">
        <f>F50+F31</f>
        <v>0</v>
      </c>
      <c r="G51" s="41">
        <f>G50+G31</f>
        <v>329780.31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6350491.9800000004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30457.8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79.41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773.02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107568.54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17155.47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47692.68</v>
      </c>
      <c r="D62" s="130">
        <f>SUM(D57:D61)</f>
        <v>107568.54</v>
      </c>
      <c r="E62" s="130">
        <f>SUM(E57:E61)</f>
        <v>0</v>
      </c>
      <c r="F62" s="130">
        <f>SUM(F57:F61)</f>
        <v>0</v>
      </c>
      <c r="G62" s="130">
        <f>SUM(G57:G61)</f>
        <v>773.02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6398184.6600000001</v>
      </c>
      <c r="D63" s="22">
        <f>D56+D62</f>
        <v>107568.54</v>
      </c>
      <c r="E63" s="22">
        <f>E56+E62</f>
        <v>0</v>
      </c>
      <c r="F63" s="22">
        <f>F56+F62</f>
        <v>0</v>
      </c>
      <c r="G63" s="22">
        <f>G56+G62</f>
        <v>773.02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153294.41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1803993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1957287.41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2211.27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2211.27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1957287.41</v>
      </c>
      <c r="D81" s="130">
        <f>SUM(D79:D80)+D78+D70</f>
        <v>2211.27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19762.25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39185.79</v>
      </c>
      <c r="D88" s="95">
        <f>SUM('DOE25'!G153:G161)</f>
        <v>41381.57</v>
      </c>
      <c r="E88" s="95">
        <f>SUM('DOE25'!H153:H161)</f>
        <v>162821.25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39185.79</v>
      </c>
      <c r="D91" s="131">
        <f>SUM(D85:D90)</f>
        <v>41381.57</v>
      </c>
      <c r="E91" s="131">
        <f>SUM(E85:E90)</f>
        <v>182583.5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3820.92</v>
      </c>
      <c r="E96" s="95">
        <f>'DOE25'!H179</f>
        <v>0</v>
      </c>
      <c r="F96" s="95">
        <f>'DOE25'!I179</f>
        <v>0</v>
      </c>
      <c r="G96" s="95">
        <f>'DOE25'!J179</f>
        <v>170000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75000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75000</v>
      </c>
      <c r="D103" s="86">
        <f>SUM(D93:D102)</f>
        <v>3820.92</v>
      </c>
      <c r="E103" s="86">
        <f>SUM(E93:E102)</f>
        <v>0</v>
      </c>
      <c r="F103" s="86">
        <f>SUM(F93:F102)</f>
        <v>0</v>
      </c>
      <c r="G103" s="86">
        <f>SUM(G93:G102)</f>
        <v>170000</v>
      </c>
    </row>
    <row r="104" spans="1:7" ht="12.75" thickTop="1" thickBot="1" x14ac:dyDescent="0.25">
      <c r="A104" s="33" t="s">
        <v>764</v>
      </c>
      <c r="C104" s="86">
        <f>C63+C81+C91+C103</f>
        <v>8469657.8599999994</v>
      </c>
      <c r="D104" s="86">
        <f>D63+D81+D91+D103</f>
        <v>154982.30000000002</v>
      </c>
      <c r="E104" s="86">
        <f>E63+E81+E91+E103</f>
        <v>182583.5</v>
      </c>
      <c r="F104" s="86">
        <f>F63+F81+F91+F103</f>
        <v>0</v>
      </c>
      <c r="G104" s="86">
        <f>G63+G81+G103</f>
        <v>170773.02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3402919.97</v>
      </c>
      <c r="D109" s="24" t="s">
        <v>288</v>
      </c>
      <c r="E109" s="95">
        <f>('DOE25'!L276)+('DOE25'!L295)+('DOE25'!L314)</f>
        <v>67356.75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1947863</v>
      </c>
      <c r="D110" s="24" t="s">
        <v>288</v>
      </c>
      <c r="E110" s="95">
        <f>('DOE25'!L277)+('DOE25'!L296)+('DOE25'!L315)</f>
        <v>105033.66999999998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102201.23999999999</v>
      </c>
      <c r="D112" s="24" t="s">
        <v>288</v>
      </c>
      <c r="E112" s="95">
        <f>+('DOE25'!L279)+('DOE25'!L298)+('DOE25'!L317)</f>
        <v>732.49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5452984.2100000009</v>
      </c>
      <c r="D115" s="86">
        <f>SUM(D109:D114)</f>
        <v>0</v>
      </c>
      <c r="E115" s="86">
        <f>SUM(E109:E114)</f>
        <v>173122.90999999997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407833.43000000005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610185.67000000004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259092.72</v>
      </c>
      <c r="D120" s="24" t="s">
        <v>288</v>
      </c>
      <c r="E120" s="95">
        <f>+('DOE25'!L283)+('DOE25'!L302)+('DOE25'!L321)</f>
        <v>9460.59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365688.25999999995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630993.43000000005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373128.07000000007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260.75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162303.83000000002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2647182.33</v>
      </c>
      <c r="D128" s="86">
        <f>SUM(D118:D127)</f>
        <v>162303.83000000002</v>
      </c>
      <c r="E128" s="86">
        <f>SUM(E118:E127)</f>
        <v>9460.59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81920.13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90000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44742.5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75000</v>
      </c>
    </row>
    <row r="135" spans="1:7" x14ac:dyDescent="0.2">
      <c r="A135" t="s">
        <v>233</v>
      </c>
      <c r="B135" s="32" t="s">
        <v>234</v>
      </c>
      <c r="C135" s="95">
        <f>'DOE25'!L263</f>
        <v>3820.92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0.61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170772.40999999997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-773.01999999996042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390483.55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75000</v>
      </c>
    </row>
    <row r="145" spans="1:9" ht="12.75" thickTop="1" thickBot="1" x14ac:dyDescent="0.25">
      <c r="A145" s="33" t="s">
        <v>244</v>
      </c>
      <c r="C145" s="86">
        <f>(C115+C128+C144)</f>
        <v>8490650.0900000017</v>
      </c>
      <c r="D145" s="86">
        <f>(D115+D128+D144)</f>
        <v>162303.83000000002</v>
      </c>
      <c r="E145" s="86">
        <f>(E115+E128+E144)</f>
        <v>182583.49999999997</v>
      </c>
      <c r="F145" s="86">
        <f>(F115+F128+F144)</f>
        <v>0</v>
      </c>
      <c r="G145" s="86">
        <f>(G115+G128+G144)</f>
        <v>75000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August 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August 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2.61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875000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134742.5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134742.5</v>
      </c>
    </row>
    <row r="159" spans="1:9" x14ac:dyDescent="0.2">
      <c r="A159" s="22" t="s">
        <v>35</v>
      </c>
      <c r="B159" s="137">
        <f>'DOE25'!F498</f>
        <v>785000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785000</v>
      </c>
    </row>
    <row r="160" spans="1:9" x14ac:dyDescent="0.2">
      <c r="A160" s="22" t="s">
        <v>36</v>
      </c>
      <c r="B160" s="137">
        <f>'DOE25'!F499</f>
        <v>161923.75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161923.75</v>
      </c>
    </row>
    <row r="161" spans="1:7" x14ac:dyDescent="0.2">
      <c r="A161" s="22" t="s">
        <v>37</v>
      </c>
      <c r="B161" s="137">
        <f>'DOE25'!F500</f>
        <v>946923.75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946923.75</v>
      </c>
    </row>
    <row r="162" spans="1:7" x14ac:dyDescent="0.2">
      <c r="A162" s="22" t="s">
        <v>38</v>
      </c>
      <c r="B162" s="137">
        <f>'DOE25'!F501</f>
        <v>95000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95000</v>
      </c>
    </row>
    <row r="163" spans="1:7" x14ac:dyDescent="0.2">
      <c r="A163" s="22" t="s">
        <v>39</v>
      </c>
      <c r="B163" s="137">
        <f>'DOE25'!F502</f>
        <v>39562.5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39562.5</v>
      </c>
    </row>
    <row r="164" spans="1:7" x14ac:dyDescent="0.2">
      <c r="A164" s="22" t="s">
        <v>246</v>
      </c>
      <c r="B164" s="137">
        <f>'DOE25'!F503</f>
        <v>134562.5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134562.5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NORTH HAMPTON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19456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19456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3470277</v>
      </c>
      <c r="D10" s="182">
        <f>ROUND((C10/$C$28)*100,1)</f>
        <v>41.4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2052897</v>
      </c>
      <c r="D11" s="182">
        <f>ROUND((C11/$C$28)*100,1)</f>
        <v>24.5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102934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407833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610186</v>
      </c>
      <c r="D16" s="182">
        <f t="shared" si="0"/>
        <v>7.3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268814</v>
      </c>
      <c r="D17" s="182">
        <f t="shared" si="0"/>
        <v>3.2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365688</v>
      </c>
      <c r="D18" s="182">
        <f t="shared" si="0"/>
        <v>4.4000000000000004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630993</v>
      </c>
      <c r="D20" s="182">
        <f t="shared" si="0"/>
        <v>7.5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373128</v>
      </c>
      <c r="D21" s="182">
        <f t="shared" si="0"/>
        <v>4.5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44743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54735.460000000006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8382228.46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81920</v>
      </c>
    </row>
    <row r="30" spans="1:4" x14ac:dyDescent="0.2">
      <c r="B30" s="187" t="s">
        <v>728</v>
      </c>
      <c r="C30" s="180">
        <f>SUM(C28:C29)</f>
        <v>8464148.4600000009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90000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6350492</v>
      </c>
      <c r="D35" s="182">
        <f t="shared" ref="D35:D40" si="1">ROUND((C35/$C$41)*100,1)</f>
        <v>73.7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48465.679999999702</v>
      </c>
      <c r="D36" s="182">
        <f t="shared" si="1"/>
        <v>0.6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1957287</v>
      </c>
      <c r="D37" s="182">
        <f t="shared" si="1"/>
        <v>22.7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2211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263151</v>
      </c>
      <c r="D39" s="182">
        <f t="shared" si="1"/>
        <v>3.1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8621606.6799999997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NORTH HAMPTON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2017-08-23T14:25:53Z</cp:lastPrinted>
  <dcterms:created xsi:type="dcterms:W3CDTF">1997-12-04T19:04:30Z</dcterms:created>
  <dcterms:modified xsi:type="dcterms:W3CDTF">2017-11-29T17:58:57Z</dcterms:modified>
</cp:coreProperties>
</file>