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2" l="1"/>
  <c r="B37" i="12"/>
  <c r="C19" i="12" l="1"/>
  <c r="B19" i="12"/>
  <c r="C10" i="12"/>
  <c r="B10" i="12"/>
  <c r="H208" i="1"/>
  <c r="H244" i="1"/>
  <c r="H595" i="1"/>
  <c r="H594" i="1"/>
  <c r="H526" i="1"/>
  <c r="H528" i="1"/>
  <c r="K531" i="1"/>
  <c r="I531" i="1"/>
  <c r="H533" i="1"/>
  <c r="H531" i="1"/>
  <c r="G533" i="1"/>
  <c r="G531" i="1"/>
  <c r="F533" i="1"/>
  <c r="F531" i="1"/>
  <c r="I521" i="1"/>
  <c r="G523" i="1"/>
  <c r="G521" i="1"/>
  <c r="F523" i="1"/>
  <c r="F521" i="1"/>
  <c r="I523" i="1"/>
  <c r="H536" i="1"/>
  <c r="H523" i="1"/>
  <c r="H521" i="1"/>
  <c r="H243" i="1"/>
  <c r="F205" i="1"/>
  <c r="G205" i="1"/>
  <c r="H203" i="1"/>
  <c r="H202" i="1"/>
  <c r="H197" i="1"/>
  <c r="H233" i="1"/>
  <c r="I233" i="1"/>
  <c r="G197" i="1"/>
  <c r="K241" i="1"/>
  <c r="I241" i="1"/>
  <c r="H241" i="1"/>
  <c r="G241" i="1"/>
  <c r="F241" i="1"/>
  <c r="H234" i="1"/>
  <c r="G234" i="1"/>
  <c r="F234" i="1"/>
  <c r="I234" i="1"/>
  <c r="H255" i="1"/>
  <c r="J243" i="1"/>
  <c r="I243" i="1"/>
  <c r="G243" i="1"/>
  <c r="F243" i="1"/>
  <c r="J241" i="1"/>
  <c r="G239" i="1"/>
  <c r="F239" i="1"/>
  <c r="I239" i="1"/>
  <c r="H239" i="1"/>
  <c r="J238" i="1"/>
  <c r="I238" i="1"/>
  <c r="H238" i="1"/>
  <c r="G238" i="1"/>
  <c r="F238" i="1"/>
  <c r="K238" i="1"/>
  <c r="G236" i="1"/>
  <c r="F236" i="1"/>
  <c r="K236" i="1"/>
  <c r="I236" i="1"/>
  <c r="H236" i="1"/>
  <c r="H235" i="1"/>
  <c r="K233" i="1"/>
  <c r="J233" i="1"/>
  <c r="G233" i="1"/>
  <c r="F233" i="1"/>
  <c r="K205" i="1"/>
  <c r="I205" i="1"/>
  <c r="H205" i="1"/>
  <c r="H198" i="1"/>
  <c r="G198" i="1"/>
  <c r="F198" i="1"/>
  <c r="I198" i="1"/>
  <c r="J207" i="1"/>
  <c r="I207" i="1"/>
  <c r="H207" i="1"/>
  <c r="G207" i="1"/>
  <c r="F207" i="1"/>
  <c r="J205" i="1"/>
  <c r="G203" i="1"/>
  <c r="F203" i="1"/>
  <c r="I203" i="1"/>
  <c r="J202" i="1"/>
  <c r="I202" i="1"/>
  <c r="G202" i="1"/>
  <c r="F202" i="1"/>
  <c r="G200" i="1"/>
  <c r="F200" i="1"/>
  <c r="I200" i="1"/>
  <c r="H200" i="1"/>
  <c r="K197" i="1"/>
  <c r="J197" i="1"/>
  <c r="I197" i="1"/>
  <c r="F197" i="1"/>
  <c r="J198" i="1"/>
  <c r="J203" i="1"/>
  <c r="K202" i="1"/>
  <c r="K200" i="1"/>
  <c r="H282" i="1"/>
  <c r="H281" i="1"/>
  <c r="H333" i="1"/>
  <c r="H315" i="1"/>
  <c r="H277" i="1"/>
  <c r="J314" i="1"/>
  <c r="I314" i="1"/>
  <c r="I276" i="1"/>
  <c r="H314" i="1"/>
  <c r="H276" i="1"/>
  <c r="G314" i="1"/>
  <c r="G276" i="1"/>
  <c r="F314" i="1"/>
  <c r="F276" i="1"/>
  <c r="G158" i="1"/>
  <c r="F12" i="1"/>
  <c r="F9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E13" i="13" s="1"/>
  <c r="C13" i="13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C20" i="10" s="1"/>
  <c r="F15" i="13"/>
  <c r="G15" i="13"/>
  <c r="L208" i="1"/>
  <c r="F662" i="1" s="1"/>
  <c r="L226" i="1"/>
  <c r="L244" i="1"/>
  <c r="F17" i="13"/>
  <c r="G17" i="13"/>
  <c r="L251" i="1"/>
  <c r="F18" i="13"/>
  <c r="D18" i="13" s="1"/>
  <c r="C18" i="13" s="1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E119" i="2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28" i="1" s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A40" i="12" s="1"/>
  <c r="C36" i="12"/>
  <c r="B40" i="12"/>
  <c r="C40" i="12"/>
  <c r="B27" i="12"/>
  <c r="C27" i="12"/>
  <c r="B31" i="12"/>
  <c r="C31" i="12"/>
  <c r="B9" i="12"/>
  <c r="A13" i="12" s="1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401" i="1" s="1"/>
  <c r="C139" i="2" s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2" i="10"/>
  <c r="C19" i="10"/>
  <c r="L250" i="1"/>
  <c r="L332" i="1"/>
  <c r="L254" i="1"/>
  <c r="C25" i="10"/>
  <c r="L268" i="1"/>
  <c r="C142" i="2" s="1"/>
  <c r="L269" i="1"/>
  <c r="L349" i="1"/>
  <c r="L350" i="1"/>
  <c r="I665" i="1"/>
  <c r="I670" i="1"/>
  <c r="L229" i="1"/>
  <c r="G662" i="1"/>
  <c r="I669" i="1"/>
  <c r="C42" i="10"/>
  <c r="C32" i="10"/>
  <c r="L374" i="1"/>
  <c r="L375" i="1"/>
  <c r="L376" i="1"/>
  <c r="L377" i="1"/>
  <c r="L378" i="1"/>
  <c r="L379" i="1"/>
  <c r="F130" i="2" s="1"/>
  <c r="L380" i="1"/>
  <c r="B2" i="10"/>
  <c r="L344" i="1"/>
  <c r="L345" i="1"/>
  <c r="L346" i="1"/>
  <c r="L347" i="1"/>
  <c r="L351" i="1" s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H552" i="1" s="1"/>
  <c r="L536" i="1"/>
  <c r="I549" i="1" s="1"/>
  <c r="I552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D18" i="2" s="1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 s="1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1" i="2"/>
  <c r="E111" i="2"/>
  <c r="E112" i="2"/>
  <c r="C113" i="2"/>
  <c r="E113" i="2"/>
  <c r="C114" i="2"/>
  <c r="E114" i="2"/>
  <c r="D115" i="2"/>
  <c r="F115" i="2"/>
  <c r="G115" i="2"/>
  <c r="E118" i="2"/>
  <c r="E120" i="2"/>
  <c r="E121" i="2"/>
  <c r="C122" i="2"/>
  <c r="E122" i="2"/>
  <c r="E123" i="2"/>
  <c r="E124" i="2"/>
  <c r="C125" i="2"/>
  <c r="E125" i="2"/>
  <c r="F128" i="2"/>
  <c r="G128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F452" i="1"/>
  <c r="G452" i="1"/>
  <c r="H452" i="1"/>
  <c r="I452" i="1"/>
  <c r="F460" i="1"/>
  <c r="G460" i="1"/>
  <c r="H460" i="1"/>
  <c r="F461" i="1"/>
  <c r="G461" i="1"/>
  <c r="H640" i="1" s="1"/>
  <c r="H461" i="1"/>
  <c r="F470" i="1"/>
  <c r="G470" i="1"/>
  <c r="H470" i="1"/>
  <c r="H476" i="1" s="1"/>
  <c r="H624" i="1" s="1"/>
  <c r="J624" i="1" s="1"/>
  <c r="I470" i="1"/>
  <c r="J470" i="1"/>
  <c r="F474" i="1"/>
  <c r="F476" i="1" s="1"/>
  <c r="H622" i="1" s="1"/>
  <c r="J622" i="1" s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1" i="1"/>
  <c r="H641" i="1"/>
  <c r="G642" i="1"/>
  <c r="G643" i="1"/>
  <c r="H643" i="1"/>
  <c r="G644" i="1"/>
  <c r="H644" i="1"/>
  <c r="J644" i="1" s="1"/>
  <c r="G649" i="1"/>
  <c r="G650" i="1"/>
  <c r="G652" i="1"/>
  <c r="H652" i="1"/>
  <c r="G653" i="1"/>
  <c r="H653" i="1"/>
  <c r="G654" i="1"/>
  <c r="H654" i="1"/>
  <c r="H655" i="1"/>
  <c r="J655" i="1" s="1"/>
  <c r="F192" i="1"/>
  <c r="C18" i="2"/>
  <c r="C26" i="10"/>
  <c r="A31" i="12"/>
  <c r="D62" i="2"/>
  <c r="D63" i="2" s="1"/>
  <c r="D17" i="13"/>
  <c r="C17" i="13" s="1"/>
  <c r="F78" i="2"/>
  <c r="F81" i="2" s="1"/>
  <c r="D50" i="2"/>
  <c r="G156" i="2"/>
  <c r="E62" i="2"/>
  <c r="E63" i="2" s="1"/>
  <c r="D19" i="13"/>
  <c r="C19" i="13" s="1"/>
  <c r="E78" i="2"/>
  <c r="E81" i="2" s="1"/>
  <c r="H112" i="1"/>
  <c r="J641" i="1"/>
  <c r="J639" i="1"/>
  <c r="K605" i="1"/>
  <c r="G648" i="1" s="1"/>
  <c r="J571" i="1"/>
  <c r="K571" i="1"/>
  <c r="L433" i="1"/>
  <c r="L419" i="1"/>
  <c r="D81" i="2"/>
  <c r="I169" i="1"/>
  <c r="J643" i="1"/>
  <c r="J476" i="1"/>
  <c r="H626" i="1" s="1"/>
  <c r="I476" i="1"/>
  <c r="H625" i="1" s="1"/>
  <c r="J625" i="1" s="1"/>
  <c r="G338" i="1"/>
  <c r="G352" i="1" s="1"/>
  <c r="J140" i="1"/>
  <c r="F571" i="1"/>
  <c r="K550" i="1"/>
  <c r="G22" i="2"/>
  <c r="K545" i="1"/>
  <c r="H140" i="1"/>
  <c r="L393" i="1"/>
  <c r="F22" i="13"/>
  <c r="C22" i="13" s="1"/>
  <c r="H25" i="13"/>
  <c r="C25" i="13" s="1"/>
  <c r="J634" i="1"/>
  <c r="H571" i="1"/>
  <c r="L560" i="1"/>
  <c r="J545" i="1"/>
  <c r="F338" i="1"/>
  <c r="F352" i="1" s="1"/>
  <c r="G192" i="1"/>
  <c r="H192" i="1"/>
  <c r="C35" i="10"/>
  <c r="L309" i="1"/>
  <c r="E16" i="13"/>
  <c r="C16" i="13" s="1"/>
  <c r="L570" i="1"/>
  <c r="I571" i="1"/>
  <c r="G36" i="2"/>
  <c r="L565" i="1"/>
  <c r="C138" i="2"/>
  <c r="G164" i="2" l="1"/>
  <c r="G81" i="2"/>
  <c r="C21" i="10"/>
  <c r="C15" i="10"/>
  <c r="G161" i="2"/>
  <c r="G157" i="2"/>
  <c r="D91" i="2"/>
  <c r="G62" i="2"/>
  <c r="G63" i="2" s="1"/>
  <c r="E128" i="2"/>
  <c r="K598" i="1"/>
  <c r="G647" i="1" s="1"/>
  <c r="J649" i="1"/>
  <c r="L544" i="1"/>
  <c r="I545" i="1"/>
  <c r="K551" i="1"/>
  <c r="G545" i="1"/>
  <c r="L534" i="1"/>
  <c r="G552" i="1"/>
  <c r="H545" i="1"/>
  <c r="L529" i="1"/>
  <c r="K549" i="1"/>
  <c r="F552" i="1"/>
  <c r="L524" i="1"/>
  <c r="K503" i="1"/>
  <c r="C16" i="10"/>
  <c r="G651" i="1"/>
  <c r="J651" i="1" s="1"/>
  <c r="H662" i="1"/>
  <c r="C110" i="2"/>
  <c r="C29" i="10"/>
  <c r="C130" i="2"/>
  <c r="I662" i="1"/>
  <c r="D15" i="13"/>
  <c r="C15" i="13" s="1"/>
  <c r="C124" i="2"/>
  <c r="C123" i="2"/>
  <c r="C119" i="2"/>
  <c r="L247" i="1"/>
  <c r="H660" i="1" s="1"/>
  <c r="C118" i="2"/>
  <c r="C112" i="2"/>
  <c r="K257" i="1"/>
  <c r="K271" i="1" s="1"/>
  <c r="J257" i="1"/>
  <c r="J271" i="1" s="1"/>
  <c r="C109" i="2"/>
  <c r="H647" i="1"/>
  <c r="D14" i="13"/>
  <c r="C14" i="13" s="1"/>
  <c r="D12" i="13"/>
  <c r="C12" i="13" s="1"/>
  <c r="C18" i="10"/>
  <c r="C121" i="2"/>
  <c r="D7" i="13"/>
  <c r="C7" i="13" s="1"/>
  <c r="D6" i="13"/>
  <c r="C6" i="13" s="1"/>
  <c r="H257" i="1"/>
  <c r="H271" i="1" s="1"/>
  <c r="C13" i="10"/>
  <c r="G257" i="1"/>
  <c r="G271" i="1" s="1"/>
  <c r="C10" i="10"/>
  <c r="D5" i="13"/>
  <c r="C5" i="13" s="1"/>
  <c r="I257" i="1"/>
  <c r="I271" i="1" s="1"/>
  <c r="C17" i="10"/>
  <c r="F257" i="1"/>
  <c r="F271" i="1" s="1"/>
  <c r="L211" i="1"/>
  <c r="E8" i="13"/>
  <c r="C8" i="13" s="1"/>
  <c r="C120" i="2"/>
  <c r="H33" i="13"/>
  <c r="E110" i="2"/>
  <c r="E115" i="2" s="1"/>
  <c r="C11" i="10"/>
  <c r="L290" i="1"/>
  <c r="H338" i="1"/>
  <c r="H352" i="1" s="1"/>
  <c r="L362" i="1"/>
  <c r="C27" i="10" s="1"/>
  <c r="H661" i="1"/>
  <c r="D29" i="13"/>
  <c r="C29" i="13" s="1"/>
  <c r="F661" i="1"/>
  <c r="D127" i="2"/>
  <c r="D128" i="2" s="1"/>
  <c r="D145" i="2" s="1"/>
  <c r="J640" i="1"/>
  <c r="I460" i="1"/>
  <c r="I461" i="1" s="1"/>
  <c r="H642" i="1" s="1"/>
  <c r="J642" i="1" s="1"/>
  <c r="G645" i="1"/>
  <c r="J645" i="1" s="1"/>
  <c r="C81" i="2"/>
  <c r="C62" i="2"/>
  <c r="C63" i="2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H648" i="1"/>
  <c r="J648" i="1" s="1"/>
  <c r="J652" i="1"/>
  <c r="G571" i="1"/>
  <c r="I434" i="1"/>
  <c r="G434" i="1"/>
  <c r="I663" i="1"/>
  <c r="G635" i="1"/>
  <c r="J635" i="1" s="1"/>
  <c r="E145" i="2" l="1"/>
  <c r="J647" i="1"/>
  <c r="G667" i="1"/>
  <c r="K552" i="1"/>
  <c r="L545" i="1"/>
  <c r="C144" i="2"/>
  <c r="L257" i="1"/>
  <c r="L271" i="1" s="1"/>
  <c r="G632" i="1" s="1"/>
  <c r="J632" i="1" s="1"/>
  <c r="C115" i="2"/>
  <c r="C128" i="2"/>
  <c r="F660" i="1"/>
  <c r="I660" i="1" s="1"/>
  <c r="E33" i="13"/>
  <c r="D35" i="13" s="1"/>
  <c r="L338" i="1"/>
  <c r="L352" i="1" s="1"/>
  <c r="G633" i="1" s="1"/>
  <c r="J633" i="1" s="1"/>
  <c r="C28" i="10"/>
  <c r="D19" i="10" s="1"/>
  <c r="D31" i="13"/>
  <c r="C31" i="13" s="1"/>
  <c r="I661" i="1"/>
  <c r="H664" i="1"/>
  <c r="G104" i="2"/>
  <c r="C104" i="2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C145" i="2" l="1"/>
  <c r="F664" i="1"/>
  <c r="F672" i="1" s="1"/>
  <c r="C4" i="10" s="1"/>
  <c r="D13" i="10"/>
  <c r="D11" i="10"/>
  <c r="D21" i="10"/>
  <c r="D22" i="10"/>
  <c r="D27" i="10"/>
  <c r="D17" i="10"/>
  <c r="D24" i="10"/>
  <c r="D10" i="10"/>
  <c r="C30" i="10"/>
  <c r="D16" i="10"/>
  <c r="D23" i="10"/>
  <c r="D18" i="10"/>
  <c r="D12" i="10"/>
  <c r="D26" i="10"/>
  <c r="D20" i="10"/>
  <c r="D15" i="10"/>
  <c r="D25" i="10"/>
  <c r="D33" i="13"/>
  <c r="D36" i="13" s="1"/>
  <c r="I664" i="1"/>
  <c r="I672" i="1" s="1"/>
  <c r="C7" i="10" s="1"/>
  <c r="H667" i="1"/>
  <c r="H672" i="1"/>
  <c r="C6" i="10" s="1"/>
  <c r="H656" i="1"/>
  <c r="C41" i="10"/>
  <c r="D38" i="10" s="1"/>
  <c r="F667" i="1" l="1"/>
  <c r="D28" i="10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<sst xmlns="http://schemas.openxmlformats.org/spreadsheetml/2006/main" count="3957" uniqueCount="915">
  <si>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</si>
  <si>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</si>
  <si>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</si>
  <si>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</si>
  <si>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</si>
  <si>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</si>
  <si>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</si>
  <si>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</si>
  <si>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</si>
  <si>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</si>
  <si>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</si>
  <si>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</si>
  <si>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</si>
  <si>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</si>
  <si>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</si>
  <si>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</si>
  <si>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</si>
  <si>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</si>
  <si>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</si>
  <si>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</si>
  <si>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</si>
  <si>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</si>
  <si>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</si>
  <si>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</si>
  <si>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</si>
  <si>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</si>
  <si>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</si>
  <si>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</si>
  <si>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</si>
  <si>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</si>
  <si>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</si>
  <si>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</si>
  <si>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</si>
  <si>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</si>
  <si>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</si>
  <si>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</si>
  <si>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</si>
  <si>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</si>
  <si>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</si>
  <si>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</si>
  <si>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</si>
  <si>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</si>
  <si>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</si>
  <si>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</si>
  <si>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</si>
  <si>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</si>
  <si>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</si>
  <si>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</si>
  <si>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</si>
  <si>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</si>
  <si>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</si>
  <si>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</si>
  <si>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</si>
  <si>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</si>
  <si>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</si>
  <si>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</si>
  <si>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</si>
  <si>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</si>
  <si>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</si>
  <si>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</si>
  <si>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</si>
  <si>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</si>
  <si>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</si>
  <si>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</si>
  <si>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</si>
  <si>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</si>
  <si>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</si>
  <si>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</si>
  <si>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</si>
  <si>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</si>
  <si>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</si>
  <si>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</si>
  <si>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</si>
  <si>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</si>
  <si>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</si>
  <si>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</si>
  <si>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</si>
  <si>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</si>
  <si>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</si>
  <si>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</si>
  <si>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</si>
  <si>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</si>
  <si>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</si>
  <si>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</si>
  <si>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</si>
  <si>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</si>
  <si>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</si>
  <si>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</si>
  <si>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</si>
  <si>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</si>
  <si>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</si>
  <si>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</si>
  <si>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</si>
  <si>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</si>
  <si>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</si>
  <si>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</si>
  <si>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</si>
  <si>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</si>
  <si>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</si>
  <si>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</si>
  <si>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</si>
  <si>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</si>
  <si>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</si>
  <si>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</si>
  <si>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</si>
  <si>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</si>
  <si>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</si>
  <si>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</si>
  <si>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</si>
  <si>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</si>
  <si>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</si>
  <si>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</si>
  <si>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</si>
  <si>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</si>
  <si>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</si>
  <si>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</si>
  <si>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</si>
  <si>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</si>
  <si>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</si>
  <si>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</si>
  <si>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</si>
  <si>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</si>
  <si>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</si>
  <si>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</si>
  <si>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</si>
  <si>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</si>
  <si>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</si>
  <si>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</si>
  <si>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</si>
  <si>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</si>
  <si>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</si>
  <si>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</si>
  <si>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</si>
  <si>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</si>
  <si>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</si>
  <si>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</si>
  <si>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</si>
  <si>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</si>
  <si>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</si>
  <si>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</si>
  <si>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</si>
  <si>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</si>
  <si>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</si>
  <si>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</si>
  <si>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</si>
  <si>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</si>
  <si>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</si>
  <si>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</si>
  <si>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</si>
  <si>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</si>
  <si>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</si>
  <si>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</si>
  <si>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</si>
  <si>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</si>
  <si>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</si>
  <si>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</si>
  <si>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</si>
  <si>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</si>
  <si>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</si>
  <si>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</si>
  <si>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</si>
  <si>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</si>
  <si>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</si>
  <si>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</si>
  <si>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</si>
  <si>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</si>
  <si>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</si>
  <si>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</si>
  <si>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</si>
  <si>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</si>
  <si>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</si>
  <si>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</si>
  <si>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</si>
  <si>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</si>
  <si>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</si>
  <si>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</si>
  <si>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</si>
  <si>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</si>
  <si>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</si>
  <si>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</si>
  <si>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</si>
  <si>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</si>
  <si>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</si>
  <si>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</si>
  <si>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</si>
  <si>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</si>
  <si>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</si>
  <si>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</si>
  <si>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</si>
  <si>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</si>
  <si>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</si>
  <si>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</si>
  <si>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</si>
  <si>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</si>
  <si>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</si>
  <si>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</si>
  <si>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</si>
  <si>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</si>
  <si>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</si>
  <si>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</si>
  <si>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</si>
  <si>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</si>
  <si>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</si>
  <si>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</si>
  <si>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</si>
  <si>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</si>
  <si>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</si>
  <si>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</si>
  <si>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</si>
  <si>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</si>
  <si>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</si>
  <si>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</si>
  <si>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</si>
  <si>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</si>
  <si>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</si>
  <si>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</si>
  <si>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</si>
  <si>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</si>
  <si>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</si>
  <si>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</si>
  <si>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</si>
  <si>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</si>
  <si>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</si>
  <si>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</si>
  <si>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</si>
  <si>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</si>
  <si>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</si>
  <si>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</si>
  <si>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</si>
  <si>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</si>
  <si>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</si>
  <si>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</si>
  <si>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</si>
  <si>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</si>
  <si>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</si>
  <si>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</si>
  <si>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</si>
  <si>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</si>
  <si>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</si>
  <si>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</si>
  <si>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</si>
  <si>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</si>
  <si>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</si>
  <si>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</si>
  <si>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</si>
  <si>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</si>
  <si>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</si>
  <si>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</si>
  <si>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</si>
  <si>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</si>
  <si>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</si>
  <si>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</si>
  <si>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</si>
  <si>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</si>
  <si>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</si>
  <si>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</si>
  <si>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</si>
  <si>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</si>
  <si>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</si>
  <si>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</si>
  <si>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</si>
  <si>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</si>
  <si>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</si>
  <si>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</si>
  <si>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</si>
  <si>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</si>
  <si>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</si>
  <si>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</si>
  <si>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</si>
  <si>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</si>
  <si>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</si>
  <si>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</si>
  <si>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</si>
  <si>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</si>
  <si>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</si>
  <si>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</si>
  <si>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</si>
  <si>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</si>
  <si>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</si>
  <si>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</si>
  <si>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</si>
  <si>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</si>
  <si>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</si>
  <si>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</si>
  <si>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</si>
  <si>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</si>
  <si>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</si>
  <si>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</si>
  <si>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</si>
  <si>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</si>
  <si>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</si>
  <si>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</si>
  <si>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</si>
  <si>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</si>
  <si>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</si>
  <si>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</si>
  <si>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</si>
  <si>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</si>
  <si>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</si>
  <si>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</si>
  <si>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</si>
  <si>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</si>
  <si>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</si>
  <si>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</si>
  <si>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</si>
  <si>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</si>
  <si>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</si>
  <si>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</si>
  <si>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</si>
  <si>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</si>
  <si>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</si>
  <si>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</si>
  <si>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</si>
  <si>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</si>
  <si>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</si>
  <si>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</si>
  <si>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</si>
  <si>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</si>
  <si>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</si>
  <si>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</si>
  <si>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</si>
  <si>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</si>
  <si>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</si>
  <si>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</si>
  <si>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</si>
  <si>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</si>
  <si>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</si>
  <si>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</si>
  <si>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</si>
  <si>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</si>
  <si>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</si>
  <si>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</si>
  <si>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</si>
  <si>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</si>
  <si>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</si>
  <si>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</si>
  <si>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</si>
  <si>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</si>
  <si>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</si>
  <si>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</si>
  <si>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</si>
  <si>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</si>
  <si>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</si>
  <si>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</si>
  <si>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</si>
  <si>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</si>
  <si>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</si>
  <si>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</si>
  <si>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</si>
  <si>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</si>
  <si>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</si>
  <si>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</si>
  <si>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</si>
  <si>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</si>
  <si>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</si>
  <si>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</si>
  <si>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</si>
  <si>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</si>
  <si>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</si>
  <si>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</si>
  <si>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</si>
  <si>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</si>
  <si>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</si>
  <si>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</si>
  <si>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</si>
  <si>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</si>
  <si>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</si>
  <si>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</si>
  <si>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</si>
  <si>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</si>
  <si>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</si>
  <si>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</si>
  <si>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</si>
  <si>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</si>
  <si>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</si>
  <si>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</si>
  <si>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</si>
  <si>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</si>
  <si>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</si>
  <si>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</si>
  <si>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</si>
  <si>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</si>
  <si>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</si>
  <si>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</si>
  <si>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</si>
  <si>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</si>
  <si>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</si>
  <si>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</si>
  <si>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</si>
  <si>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</si>
  <si>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</si>
  <si>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</si>
  <si>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</si>
  <si>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</si>
  <si>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</si>
  <si>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</si>
  <si>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</si>
  <si>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</si>
  <si>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</si>
  <si>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</si>
  <si>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</si>
  <si>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</si>
  <si>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</si>
  <si>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</si>
  <si>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</si>
  <si>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</si>
  <si>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</si>
  <si>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</si>
  <si>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</si>
  <si>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</si>
  <si>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</si>
  <si>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</si>
  <si>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</si>
  <si>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</si>
  <si>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</si>
  <si>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</si>
  <si>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</si>
  <si>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</si>
  <si>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</si>
  <si>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</si>
  <si>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</si>
  <si>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</si>
  <si>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</si>
  <si>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</si>
  <si>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</si>
  <si>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</si>
  <si>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</si>
  <si>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</si>
  <si>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</si>
  <si>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</si>
  <si>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</si>
  <si>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</si>
  <si>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</si>
  <si>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</si>
  <si>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</si>
  <si>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</si>
  <si>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</si>
  <si>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</si>
  <si>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</si>
  <si>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</si>
  <si>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</si>
  <si>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</si>
  <si>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</si>
  <si>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</si>
  <si>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</si>
  <si>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</si>
  <si>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</si>
  <si>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</si>
  <si>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</si>
  <si>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</si>
  <si>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</si>
  <si>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</si>
  <si>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</si>
  <si>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</si>
  <si>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</si>
  <si>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</si>
  <si>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</si>
  <si>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</si>
  <si>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</si>
  <si>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</si>
  <si>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</si>
  <si>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</si>
  <si>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</si>
  <si>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</si>
  <si>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</si>
  <si>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</si>
  <si>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</si>
  <si>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</si>
  <si>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</si>
  <si>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</si>
  <si>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</si>
  <si>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</si>
  <si>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</si>
  <si>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</si>
  <si>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</si>
  <si>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</si>
  <si>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</si>
  <si>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</si>
  <si>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</si>
  <si>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</si>
  <si>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</si>
  <si>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</si>
  <si>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</si>
  <si>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</si>
  <si>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</si>
  <si>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</si>
  <si>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</si>
  <si>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</si>
  <si>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</si>
  <si>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</si>
  <si>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</si>
  <si>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</si>
  <si>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</si>
  <si>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</si>
  <si>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</si>
  <si>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</si>
  <si>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</si>
  <si>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</si>
  <si>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</si>
  <si>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</si>
  <si>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</si>
  <si>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</si>
  <si>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</si>
  <si>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</si>
  <si>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</si>
  <si>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</si>
  <si>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</si>
  <si>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</si>
  <si>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</si>
  <si>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</si>
  <si>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</si>
  <si>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</si>
  <si>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</si>
  <si>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</si>
  <si>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</si>
  <si>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</si>
  <si>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</si>
  <si>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</si>
  <si>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</si>
  <si>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</si>
  <si>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</si>
  <si>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</si>
  <si>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</si>
  <si>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</si>
  <si>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</si>
  <si>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</si>
  <si>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</si>
  <si>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</si>
  <si>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</si>
  <si>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</si>
  <si>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</si>
  <si>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</si>
  <si>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</si>
  <si>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</si>
  <si>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</si>
  <si>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</si>
  <si>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</si>
  <si>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</si>
  <si>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</si>
  <si>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</si>
  <si>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</si>
  <si>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</si>
  <si>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</si>
  <si>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</si>
  <si>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</si>
  <si>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</si>
  <si>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</si>
  <si>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</si>
  <si>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</si>
  <si>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</si>
  <si>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</si>
  <si>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</si>
  <si>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</si>
  <si>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</si>
  <si>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</si>
  <si>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</si>
  <si>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</si>
  <si>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</si>
  <si>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</si>
  <si>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</si>
  <si>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</si>
  <si>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</si>
  <si>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</si>
  <si>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</si>
  <si>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</si>
  <si>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</si>
  <si>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</si>
  <si>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</si>
  <si>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</si>
  <si>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</si>
  <si>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</si>
  <si>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</si>
  <si>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</si>
  <si>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</si>
  <si>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</si>
  <si>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</si>
  <si>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</si>
  <si>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</si>
  <si>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</si>
  <si>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</si>
  <si>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</si>
  <si>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</si>
  <si>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</si>
  <si>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</si>
  <si>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</si>
  <si>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</si>
  <si>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</si>
  <si>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</si>
  <si>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</si>
  <si>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</si>
  <si>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</si>
  <si>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</si>
  <si>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</si>
  <si>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</si>
  <si>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</si>
  <si>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</si>
  <si>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</si>
  <si>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</si>
  <si>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</si>
  <si>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</si>
  <si>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</si>
  <si>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</si>
  <si>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</si>
  <si>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</si>
  <si>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</si>
  <si>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</si>
  <si>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</si>
  <si>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</si>
  <si>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</si>
  <si>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</si>
  <si>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</si>
  <si>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</si>
  <si>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</si>
  <si>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</si>
  <si>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</si>
  <si>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</si>
  <si>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</si>
  <si>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</si>
  <si>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</si>
  <si>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</si>
  <si>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</si>
  <si>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</si>
  <si>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</si>
  <si>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</si>
  <si>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</si>
  <si>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</si>
  <si>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</si>
  <si>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</si>
  <si>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</si>
  <si>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</si>
  <si>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</si>
  <si>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</si>
  <si>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</si>
  <si>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</si>
  <si>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</si>
  <si>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</si>
  <si>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</si>
  <si>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</si>
  <si>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</si>
  <si>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</si>
  <si>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</si>
  <si>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</si>
  <si>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</si>
  <si>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</si>
  <si>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</si>
  <si>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</si>
  <si>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</si>
  <si>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</si>
  <si>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</si>
  <si>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</si>
  <si>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</si>
  <si>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</si>
  <si>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</si>
  <si>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</si>
  <si>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</si>
  <si>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</si>
  <si>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</si>
  <si>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</si>
  <si>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</si>
  <si>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</si>
  <si>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</si>
  <si>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</si>
  <si>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</si>
  <si>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</si>
  <si>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</si>
  <si>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</si>
  <si>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</si>
  <si>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</si>
  <si>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</si>
  <si>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</si>
  <si>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</si>
  <si>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</si>
  <si>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</si>
  <si>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</si>
  <si>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</si>
  <si>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</si>
  <si>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</si>
  <si>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</si>
  <si>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</si>
  <si>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</si>
  <si>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</si>
  <si>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</si>
  <si>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</si>
  <si>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</si>
  <si>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</si>
  <si>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</si>
  <si>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</si>
  <si>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</si>
  <si>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</si>
  <si>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</si>
  <si>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</si>
  <si>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</si>
  <si>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</si>
  <si>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</si>
  <si>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</si>
  <si>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</si>
  <si>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</si>
  <si>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</si>
  <si>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</si>
  <si>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</si>
  <si>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</si>
  <si>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</si>
  <si>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</si>
  <si>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</si>
  <si>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</si>
  <si>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</si>
  <si>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</si>
  <si>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</si>
  <si>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</si>
  <si>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</si>
  <si>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</si>
  <si>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</si>
  <si>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</si>
  <si>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</si>
  <si>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</si>
  <si>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</si>
  <si>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</si>
  <si>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</si>
  <si>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</si>
  <si>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</si>
  <si>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</si>
  <si>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</si>
  <si>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</si>
  <si>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</si>
  <si>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</si>
  <si>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</si>
  <si>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</si>
  <si>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</si>
  <si>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</si>
  <si>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</si>
  <si>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</si>
  <si>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</si>
  <si>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</si>
  <si>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</si>
  <si>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</si>
  <si>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</si>
  <si>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</si>
  <si>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</si>
  <si>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</si>
  <si>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</si>
  <si>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</si>
  <si>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</si>
  <si>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</si>
  <si>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</si>
  <si>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</si>
  <si>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</si>
  <si>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</si>
  <si>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</si>
  <si>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</si>
  <si>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</si>
  <si>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</si>
  <si>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</si>
  <si>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</si>
  <si>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</si>
  <si>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</si>
  <si>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</si>
  <si>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</si>
  <si>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</si>
  <si>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</si>
  <si>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</si>
  <si>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</si>
  <si>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</si>
  <si>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</si>
  <si>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</si>
  <si>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</si>
  <si>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</si>
  <si>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</si>
  <si>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</si>
  <si>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</si>
  <si>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</si>
  <si>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</si>
  <si>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</si>
  <si>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</si>
  <si>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</si>
  <si>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</si>
  <si>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</si>
  <si>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</si>
  <si>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</si>
  <si>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</si>
  <si>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</si>
  <si>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</si>
  <si>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</si>
  <si>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</si>
  <si>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</si>
  <si>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</si>
  <si>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</si>
  <si>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</si>
  <si>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</si>
  <si>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</si>
  <si>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</si>
  <si>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</si>
  <si>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</si>
  <si>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</si>
  <si>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</si>
  <si>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</si>
  <si>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</si>
  <si>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</si>
  <si>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</si>
  <si>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</si>
  <si>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</si>
  <si>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</si>
  <si>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</si>
  <si>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</si>
  <si>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</si>
  <si>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</si>
  <si>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</si>
  <si>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</si>
  <si>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</si>
  <si>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</si>
  <si>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</si>
  <si>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</si>
  <si>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</si>
  <si>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</si>
  <si>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</si>
  <si>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</si>
  <si>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</si>
  <si>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</si>
  <si>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</si>
  <si>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</si>
  <si>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</si>
  <si>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</si>
  <si>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</si>
  <si>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</si>
  <si>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</si>
  <si>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</si>
  <si>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</si>
  <si>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</si>
  <si>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</si>
  <si>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</si>
  <si>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</si>
  <si>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</si>
  <si>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</si>
  <si>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</si>
  <si>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</si>
  <si>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</si>
  <si>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</si>
  <si>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</si>
  <si>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</si>
  <si>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</si>
  <si>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</si>
  <si>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</si>
  <si>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</si>
  <si>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</si>
  <si>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</si>
  <si>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</si>
  <si>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</si>
  <si>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</si>
  <si>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</si>
  <si>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</si>
  <si>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</si>
  <si>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</si>
  <si>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</si>
  <si>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</si>
  <si>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</si>
  <si>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</si>
  <si>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</si>
  <si>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</si>
  <si>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</si>
  <si>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</si>
  <si>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</si>
  <si>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</si>
  <si>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</si>
  <si>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</si>
  <si>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</si>
  <si>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</si>
  <si>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</si>
  <si>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</si>
  <si>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</si>
  <si>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</si>
  <si>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</si>
  <si>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</si>
  <si>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</si>
  <si>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</si>
  <si>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</si>
  <si>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</si>
  <si>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</si>
  <si>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</si>
  <si>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</si>
  <si>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</si>
  <si>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</si>
  <si>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</si>
  <si>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</si>
  <si>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</si>
  <si>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</si>
  <si>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</si>
  <si>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</si>
  <si>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</si>
  <si>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</si>
  <si>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</si>
  <si>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</si>
  <si>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</si>
  <si>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</si>
  <si>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</si>
  <si>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</si>
  <si>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</si>
  <si>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</si>
  <si>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</si>
  <si>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</si>
  <si>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</si>
  <si>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</si>
  <si>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</si>
  <si>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</si>
  <si>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</si>
  <si>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</si>
  <si>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</si>
  <si>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</si>
  <si>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</si>
  <si>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</si>
  <si>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</si>
  <si>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</si>
  <si>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</si>
  <si>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</si>
  <si>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NORTHUMBERLAND SCHOOL DISTRICT</t>
  </si>
  <si>
    <t>09/10</t>
  </si>
  <si>
    <t>09/20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</si>
</sst>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5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407</v>
      </c>
      <c r="C2" s="21">
        <v>407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89814.87+300082.22</f>
        <v>389897.08999999997</v>
      </c>
      <c r="G9" s="18"/>
      <c r="H9" s="18"/>
      <c r="I9" s="18"/>
      <c r="J9" s="67">
        <f>SUM(I439)</f>
        <v>328644.94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f>7905.23+50107.88</f>
        <v>58013.11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>
        <v>7905.23</v>
      </c>
      <c r="H14" s="18">
        <v>50107.88</v>
      </c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447910.19999999995</v>
      </c>
      <c r="G19" s="41">
        <f>SUM(G9:G18)</f>
        <v>7905.23</v>
      </c>
      <c r="H19" s="41">
        <f>SUM(H9:H18)</f>
        <v>50107.88</v>
      </c>
      <c r="I19" s="41">
        <f>SUM(I9:I18)</f>
        <v>0</v>
      </c>
      <c r="J19" s="41">
        <f>SUM(J9:J18)</f>
        <v>328644.94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>
        <v>7905.23</v>
      </c>
      <c r="H22" s="18">
        <v>50107.88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13393.61</v>
      </c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13393.61</v>
      </c>
      <c r="G32" s="41">
        <f>SUM(G22:G31)</f>
        <v>7905.23</v>
      </c>
      <c r="H32" s="41">
        <f>SUM(H22:H31)</f>
        <v>50107.88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328644.94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49425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385091.59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434516.59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328644.94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447910.2</v>
      </c>
      <c r="G52" s="41">
        <f>G51+G32</f>
        <v>7905.23</v>
      </c>
      <c r="H52" s="41">
        <f>H51+H32</f>
        <v>50107.88</v>
      </c>
      <c r="I52" s="41">
        <f>I51+I32</f>
        <v>0</v>
      </c>
      <c r="J52" s="41">
        <f>J51+J32</f>
        <v>328644.94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1790458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1790458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561729.62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>
        <v>287557.3</v>
      </c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849286.91999999993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1673.25</v>
      </c>
      <c r="G96" s="18"/>
      <c r="H96" s="18"/>
      <c r="I96" s="18"/>
      <c r="J96" s="18">
        <v>2280.63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46253.35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10000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3151.35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14824.6</v>
      </c>
      <c r="G111" s="41">
        <f>SUM(G96:G110)</f>
        <v>46253.35</v>
      </c>
      <c r="H111" s="41">
        <f>SUM(H96:H110)</f>
        <v>0</v>
      </c>
      <c r="I111" s="41">
        <f>SUM(I96:I110)</f>
        <v>0</v>
      </c>
      <c r="J111" s="41">
        <f>SUM(J96:J110)</f>
        <v>2280.63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2654569.52</v>
      </c>
      <c r="G112" s="41">
        <f>G60+G111</f>
        <v>46253.35</v>
      </c>
      <c r="H112" s="41">
        <f>H60+H79+H94+H111</f>
        <v>0</v>
      </c>
      <c r="I112" s="41">
        <f>I60+I111</f>
        <v>0</v>
      </c>
      <c r="J112" s="41">
        <f>J60+J111</f>
        <v>2280.63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2575782.52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186556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1206.99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2763545.5100000002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9000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15122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2163.3000000000002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24122</v>
      </c>
      <c r="G136" s="41">
        <f>SUM(G123:G135)</f>
        <v>2163.3000000000002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2787667.5100000002</v>
      </c>
      <c r="G140" s="41">
        <f>G121+SUM(G136:G137)</f>
        <v>2163.3000000000002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119168.31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120972.69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f>111815.38+11837.22</f>
        <v>123652.6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100758.26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54867.92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54867.92</v>
      </c>
      <c r="G162" s="41">
        <f>SUM(G150:G161)</f>
        <v>123652.6</v>
      </c>
      <c r="H162" s="41">
        <f>SUM(H150:H161)</f>
        <v>340899.26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336.63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55204.549999999996</v>
      </c>
      <c r="G169" s="41">
        <f>G147+G162+SUM(G163:G168)</f>
        <v>123652.6</v>
      </c>
      <c r="H169" s="41">
        <f>H147+H162+SUM(H163:H168)</f>
        <v>340899.26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>
        <v>3389</v>
      </c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3389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8362.69</v>
      </c>
      <c r="H179" s="18"/>
      <c r="I179" s="18"/>
      <c r="J179" s="18">
        <v>60000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8362.69</v>
      </c>
      <c r="H183" s="41">
        <f>SUM(H179:H182)</f>
        <v>0</v>
      </c>
      <c r="I183" s="41">
        <f>SUM(I179:I182)</f>
        <v>0</v>
      </c>
      <c r="J183" s="41">
        <f>SUM(J179:J182)</f>
        <v>60000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63000</v>
      </c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63000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66389</v>
      </c>
      <c r="G192" s="41">
        <f>G183+SUM(G188:G191)</f>
        <v>8362.69</v>
      </c>
      <c r="H192" s="41">
        <f>+H183+SUM(H188:H191)</f>
        <v>0</v>
      </c>
      <c r="I192" s="41">
        <f>I177+I183+SUM(I188:I191)</f>
        <v>0</v>
      </c>
      <c r="J192" s="41">
        <f>J183</f>
        <v>60000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5563830.5800000001</v>
      </c>
      <c r="G193" s="47">
        <f>G112+G140+G169+G192</f>
        <v>180431.94</v>
      </c>
      <c r="H193" s="47">
        <f>H112+H140+H169+H192</f>
        <v>340899.26</v>
      </c>
      <c r="I193" s="47">
        <f>I112+I140+I169+I192</f>
        <v>0</v>
      </c>
      <c r="J193" s="47">
        <f>J112+J140+J192</f>
        <v>62280.63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428403.77+18011.92+25228.41+10701.1+344406.24+6127.4+13423.52+3125</f>
        <v>849427.36</v>
      </c>
      <c r="G197" s="18">
        <f>72943.53+2501.91+36509.27+66708.73+78.75+2199.05+2213.19+86894.26+1954.33+27484.84+54064.78+1172.25+2140+1826.81+1914.39+82.05</f>
        <v>360688.14</v>
      </c>
      <c r="H197" s="18">
        <f>98.5+189+2497.39+5768.62+310.39+200.01+1545.55+2584.57+150</f>
        <v>13344.029999999999</v>
      </c>
      <c r="I197" s="18">
        <f>13475.84+482.49+6247.42+1366.02+7696.97+200+806.79+1056+900</f>
        <v>32231.530000000002</v>
      </c>
      <c r="J197" s="18">
        <f>1273.11+74.75+1475+2249.88+1300</f>
        <v>6372.74</v>
      </c>
      <c r="K197" s="18">
        <f>159+238</f>
        <v>397</v>
      </c>
      <c r="L197" s="19">
        <f>SUM(F197:K197)</f>
        <v>1262460.8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91908.34+112069.97+3072+4479.63+10681.99+49731.81+29168.38+768+8218.85+791.89+4888.39</f>
        <v>315779.25</v>
      </c>
      <c r="G198" s="18">
        <f>26502.7+573.55+15955.23+14868.91+2234.98+1088.99+817.23+221.91+102.53+2610.31+274.33+6725.52+7792.97+200+541.78+365.75+373.98</f>
        <v>81250.67</v>
      </c>
      <c r="H198" s="18">
        <f>21379.49+5378+28021.88+39043.2+24074.3+21122.42+6992.02</f>
        <v>146011.31</v>
      </c>
      <c r="I198" s="18">
        <f>204.72+250.36+282.46</f>
        <v>737.54</v>
      </c>
      <c r="J198" s="18">
        <f>379</f>
        <v>379</v>
      </c>
      <c r="K198" s="18"/>
      <c r="L198" s="19">
        <f>SUM(F198:K198)</f>
        <v>544157.77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f>7740+8381.8-29.6</f>
        <v>16092.199999999999</v>
      </c>
      <c r="G200" s="18">
        <f>591.47+262.24+110.27+33.21+636.9+28.02+505.18+137.83+44.27-8.03-16.24</f>
        <v>2325.12</v>
      </c>
      <c r="H200" s="18">
        <f>3060+1662</f>
        <v>4722</v>
      </c>
      <c r="I200" s="18">
        <f>230.69+2601.77</f>
        <v>2832.46</v>
      </c>
      <c r="J200" s="18"/>
      <c r="K200" s="18">
        <f>790</f>
        <v>790</v>
      </c>
      <c r="L200" s="19">
        <f>SUM(F200:K200)</f>
        <v>26761.78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46804.03+5460+45382.35+300+13379.84+8603.71+14247.53+456</f>
        <v>134633.46</v>
      </c>
      <c r="G202" s="18">
        <f>216.67+4039.46+7334.13+166.3+294.05+3494.72+229.84+644.98+10719.03+156.92+1730.9+969.53+2096.64+162+145.34+1124.87+85.04</f>
        <v>33610.42</v>
      </c>
      <c r="H202" s="18">
        <f>110.95+220+32318.18+740+145.34+1199.31+83.6</f>
        <v>34817.379999999997</v>
      </c>
      <c r="I202" s="18">
        <f>256.04+167.85+493.13+589.76+134.44+560.9</f>
        <v>2202.12</v>
      </c>
      <c r="J202" s="18">
        <f>276.39+125</f>
        <v>401.39</v>
      </c>
      <c r="K202" s="18">
        <f>105</f>
        <v>105</v>
      </c>
      <c r="L202" s="19">
        <f t="shared" ref="L202:L208" si="0">SUM(F202:K202)</f>
        <v>205769.77000000002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19541.58+11790+8024.56+12484.92+5766.62</f>
        <v>57607.68</v>
      </c>
      <c r="G203" s="18">
        <f>5599.75+110.74+2396.88+3062.08+250.76+167.49+1215.61+31.83+607.59+862.54+63.44+53.84+3577.62+70.7+955+1956.3+53.26+70.99+868.37+22.77+436.65+619.57+46.27+41.74</f>
        <v>23141.790000000005</v>
      </c>
      <c r="H203" s="18">
        <f>1320+120+164.82+709.92</f>
        <v>2314.7399999999998</v>
      </c>
      <c r="I203" s="18">
        <f>479.02+500.22+985.34+184.5+103.85+1029.35+1245.31</f>
        <v>4527.59</v>
      </c>
      <c r="J203" s="18">
        <f>-9.98</f>
        <v>-9.98</v>
      </c>
      <c r="K203" s="18"/>
      <c r="L203" s="19">
        <f t="shared" si="0"/>
        <v>87581.82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2812</v>
      </c>
      <c r="G204" s="18">
        <v>212.94</v>
      </c>
      <c r="H204" s="18">
        <v>225656.43</v>
      </c>
      <c r="I204" s="18">
        <v>714</v>
      </c>
      <c r="J204" s="18"/>
      <c r="K204" s="18">
        <v>2645.75</v>
      </c>
      <c r="L204" s="19">
        <f t="shared" si="0"/>
        <v>232041.12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f>67999.88+35580.7+6000.02+1059.76+14363.8+6853.44+28490.02+18999.99+13914.23+2280+100.75+10506.62+5012.67</f>
        <v>211161.88</v>
      </c>
      <c r="G205" s="18">
        <f>19095.51+737.91+8438.88+3974.36+10694.09+459.68+553.36+8263.59+138.73+1606.3+765.57+2250.79+2084.94+106.27+81.67+12242.73+374.93+4860.43+1528.27+7441.73+241.25+603.09+6044.54+101.59+1174.86+559.94+1646.31+1495.62+70.83+56.44</f>
        <v>97694.209999999977</v>
      </c>
      <c r="H205" s="18">
        <f>155+993.75+162.4+300+177.37+298.1+850+31.2+447+999.5+126.69+431.85+650</f>
        <v>5622.86</v>
      </c>
      <c r="I205" s="18">
        <f>923.01+15923.37+444.68+51.8+250.57+10399.32+257.46</f>
        <v>28250.21</v>
      </c>
      <c r="J205" s="18">
        <f>10294.31+6808</f>
        <v>17102.309999999998</v>
      </c>
      <c r="K205" s="18">
        <f>2712.34+2301.08+2031.82+1869.61</f>
        <v>8914.85</v>
      </c>
      <c r="L205" s="19">
        <f t="shared" si="0"/>
        <v>368746.31999999995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f>39811.68+5360.03+112.5+586.91+29843.51+3768.16+1712+1000.94</f>
        <v>82195.73000000001</v>
      </c>
      <c r="G207" s="18">
        <f>15959.09+233.36+3517.35+4524.43+413.71+1124.26+11286.53+166.6+2775.79+3441.06+253.99+789.72</f>
        <v>44485.889999999992</v>
      </c>
      <c r="H207" s="18">
        <f>1776.56+4882.78+4380+15820.69+6043.45-54.52+40.45+1416.61+1670.1+16103.13+4316.75+387.93+42.64</f>
        <v>56826.569999999992</v>
      </c>
      <c r="I207" s="18">
        <f>10437.62+15854.5+1271.26+10729.76+8749.08+13289.26+206.61+8891.5</f>
        <v>69429.59</v>
      </c>
      <c r="J207" s="18">
        <f>219.64</f>
        <v>219.64</v>
      </c>
      <c r="K207" s="18"/>
      <c r="L207" s="19">
        <f t="shared" si="0"/>
        <v>253157.42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f>60377+3191.05+1500+733.6+4027.05+2106.2</f>
        <v>71934.900000000009</v>
      </c>
      <c r="I208" s="4"/>
      <c r="J208" s="18"/>
      <c r="K208" s="18"/>
      <c r="L208" s="19">
        <f t="shared" si="0"/>
        <v>71934.900000000009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1669709.5599999996</v>
      </c>
      <c r="G211" s="41">
        <f t="shared" si="1"/>
        <v>643409.17999999993</v>
      </c>
      <c r="H211" s="41">
        <f t="shared" si="1"/>
        <v>561250.22</v>
      </c>
      <c r="I211" s="41">
        <f t="shared" si="1"/>
        <v>140925.04</v>
      </c>
      <c r="J211" s="41">
        <f t="shared" si="1"/>
        <v>24465.1</v>
      </c>
      <c r="K211" s="41">
        <f t="shared" si="1"/>
        <v>12852.6</v>
      </c>
      <c r="L211" s="41">
        <f t="shared" si="1"/>
        <v>3052611.6999999997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f>563213.55+10713.36+851.89+24565.54+11880.11</f>
        <v>611224.45000000007</v>
      </c>
      <c r="G233" s="18">
        <f>102213.11+2988.43+46281.4+87925.18+1473.75+2199.96+3040.4+2281.32+112.45</f>
        <v>248516</v>
      </c>
      <c r="H233" s="18">
        <f>29795+781.63+1510.94+4388.3+449.8-29795</f>
        <v>7130.6700000000055</v>
      </c>
      <c r="I233" s="18">
        <f>17796.34+5145.46+679.81+790.86+2000</f>
        <v>26412.47</v>
      </c>
      <c r="J233" s="18">
        <f>1300+913.6+1413.95+749.3</f>
        <v>4376.8500000000004</v>
      </c>
      <c r="K233" s="18">
        <f>4580.2</f>
        <v>4580.2</v>
      </c>
      <c r="L233" s="19">
        <f>SUM(F233:K233)</f>
        <v>902240.64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f>27008.19+15764.7+45+3778.03+805.94+2534.62</f>
        <v>49936.480000000003</v>
      </c>
      <c r="G234" s="18">
        <f>4444.64+159.11+3625.93+4234.55+270+521.48+280.95+193.88</f>
        <v>13730.539999999999</v>
      </c>
      <c r="H234" s="18">
        <f>25392.09+25000+90292.33+3949.96</f>
        <v>144634.37999999998</v>
      </c>
      <c r="I234" s="18">
        <f>134.21+564.69</f>
        <v>698.90000000000009</v>
      </c>
      <c r="J234" s="18"/>
      <c r="K234" s="18"/>
      <c r="L234" s="19">
        <f>SUM(F234:K234)</f>
        <v>209000.29999999996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f>44641.89</f>
        <v>44641.89</v>
      </c>
      <c r="I235" s="18"/>
      <c r="J235" s="18"/>
      <c r="K235" s="18"/>
      <c r="L235" s="19">
        <f>SUM(F235:K235)</f>
        <v>44641.89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f>33011.2-50.42</f>
        <v>32960.78</v>
      </c>
      <c r="G236" s="18">
        <f>2431.25+122.11+2557.86+344.59+143.89-13.67-28.02</f>
        <v>5558.01</v>
      </c>
      <c r="H236" s="18">
        <f>14794+250.98+250.38</f>
        <v>15295.359999999999</v>
      </c>
      <c r="I236" s="18">
        <f>3686.67</f>
        <v>3686.67</v>
      </c>
      <c r="J236" s="18"/>
      <c r="K236" s="18">
        <f>2775</f>
        <v>2775</v>
      </c>
      <c r="L236" s="19">
        <f>SUM(F236:K236)</f>
        <v>60275.82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f>21830.11+14649.57+855.05+23245.97+744</f>
        <v>61324.700000000004</v>
      </c>
      <c r="G238" s="18">
        <f>17736.6+258.81+2856.28+1627.89+3420.81+281.83+250.6+1835.24+144.8</f>
        <v>28412.86</v>
      </c>
      <c r="H238" s="18">
        <f>739.1+140.77+1004.67+136.4</f>
        <v>2020.94</v>
      </c>
      <c r="I238" s="18">
        <f>288.08+806.51</f>
        <v>1094.5899999999999</v>
      </c>
      <c r="J238" s="18">
        <f>102</f>
        <v>102</v>
      </c>
      <c r="K238" s="18">
        <f>1153.3</f>
        <v>1153.3</v>
      </c>
      <c r="L238" s="19">
        <f t="shared" ref="L238:L244" si="4">SUM(F238:K238)</f>
        <v>94108.39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f>22255.5+9600.02+1038.48</f>
        <v>32894</v>
      </c>
      <c r="G239" s="18">
        <f>6377.45+126.35+1702.5+3487.56+95.42+129.18+1389.32+36.12+806.49+1130.65+84.23+25.38</f>
        <v>15390.649999999998</v>
      </c>
      <c r="H239" s="18">
        <f>657.81+1329.73+129.79+378.33</f>
        <v>2495.66</v>
      </c>
      <c r="I239" s="18">
        <f>1487.22+2443</f>
        <v>3930.2200000000003</v>
      </c>
      <c r="J239" s="18"/>
      <c r="K239" s="18"/>
      <c r="L239" s="19">
        <f t="shared" si="4"/>
        <v>54710.53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1798</v>
      </c>
      <c r="G240" s="18">
        <v>136</v>
      </c>
      <c r="H240" s="18">
        <v>144273</v>
      </c>
      <c r="I240" s="18">
        <v>456</v>
      </c>
      <c r="J240" s="18"/>
      <c r="K240" s="18">
        <v>1692</v>
      </c>
      <c r="L240" s="19">
        <f t="shared" si="4"/>
        <v>148355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f>48510.02+31000.01+23691.69+3720+186+19458.47+9279.46</f>
        <v>135845.65</v>
      </c>
      <c r="G241" s="18">
        <f>20845.69+629.49+8161.05+2602.26+12459.17+432.41+650.15+11195.27+188.05+2176.79+1036.49+3049.24+2461.44+132.87+106.14</f>
        <v>66126.509999999995</v>
      </c>
      <c r="H241" s="18">
        <f>50.91+447+1712.57+233.26+202.74+198.25+700</f>
        <v>3544.7299999999996</v>
      </c>
      <c r="I241" s="18">
        <f>449.52+16713.52+257.44</f>
        <v>17420.48</v>
      </c>
      <c r="J241" s="18">
        <f>11383.29</f>
        <v>11383.29</v>
      </c>
      <c r="K241" s="18">
        <f>2902.1+2393.4</f>
        <v>5295.5</v>
      </c>
      <c r="L241" s="19">
        <f t="shared" si="4"/>
        <v>239616.16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f>46423.64+4655.23+2001.88+1119.31</f>
        <v>54200.05999999999</v>
      </c>
      <c r="G243" s="18">
        <f>17554.33+258.9+4141.24+5303.05+392.72+1207.78</f>
        <v>28858.02</v>
      </c>
      <c r="H243" s="18">
        <f>1136+2311.3+2724.9+26137.54+6906.8+593+68.65</f>
        <v>39878.19</v>
      </c>
      <c r="I243" s="18">
        <f>12046.87+21682.48+337.07+14762.2</f>
        <v>48828.619999999995</v>
      </c>
      <c r="J243" s="18">
        <f>358.36</f>
        <v>358.36</v>
      </c>
      <c r="K243" s="18"/>
      <c r="L243" s="19">
        <f t="shared" si="4"/>
        <v>172123.24999999997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f>67066+13948.08+2038.99+16128.82</f>
        <v>99181.890000000014</v>
      </c>
      <c r="I244" s="18"/>
      <c r="J244" s="18"/>
      <c r="K244" s="18"/>
      <c r="L244" s="19">
        <f t="shared" si="4"/>
        <v>99181.890000000014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980184.12</v>
      </c>
      <c r="G247" s="41">
        <f t="shared" si="5"/>
        <v>406728.59</v>
      </c>
      <c r="H247" s="41">
        <f t="shared" si="5"/>
        <v>503096.71</v>
      </c>
      <c r="I247" s="41">
        <f t="shared" si="5"/>
        <v>102527.95</v>
      </c>
      <c r="J247" s="41">
        <f t="shared" si="5"/>
        <v>16220.500000000002</v>
      </c>
      <c r="K247" s="41">
        <f t="shared" si="5"/>
        <v>15496</v>
      </c>
      <c r="L247" s="41">
        <f t="shared" si="5"/>
        <v>2024253.8699999996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f>15900.76+7112.6+85894.03</f>
        <v>108907.39</v>
      </c>
      <c r="I255" s="18"/>
      <c r="J255" s="18"/>
      <c r="K255" s="18"/>
      <c r="L255" s="19">
        <f t="shared" si="6"/>
        <v>108907.39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108907.39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108907.39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2649893.6799999997</v>
      </c>
      <c r="G257" s="41">
        <f t="shared" si="8"/>
        <v>1050137.77</v>
      </c>
      <c r="H257" s="41">
        <f t="shared" si="8"/>
        <v>1173254.3199999998</v>
      </c>
      <c r="I257" s="41">
        <f t="shared" si="8"/>
        <v>243452.99</v>
      </c>
      <c r="J257" s="41">
        <f t="shared" si="8"/>
        <v>40685.599999999999</v>
      </c>
      <c r="K257" s="41">
        <f t="shared" si="8"/>
        <v>28348.6</v>
      </c>
      <c r="L257" s="41">
        <f t="shared" si="8"/>
        <v>5185772.959999999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15000</v>
      </c>
      <c r="L260" s="19">
        <f>SUM(F260:K260)</f>
        <v>15000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3638.25</v>
      </c>
      <c r="L261" s="19">
        <f>SUM(F261:K261)</f>
        <v>3638.25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8362.69</v>
      </c>
      <c r="L263" s="19">
        <f>SUM(F263:K263)</f>
        <v>8362.69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60000</v>
      </c>
      <c r="L266" s="19">
        <f t="shared" si="9"/>
        <v>60000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>
        <v>29795</v>
      </c>
      <c r="L268" s="19">
        <f t="shared" si="9"/>
        <v>29795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116795.94</v>
      </c>
      <c r="L270" s="41">
        <f t="shared" si="9"/>
        <v>116795.94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2649893.6799999997</v>
      </c>
      <c r="G271" s="42">
        <f t="shared" si="11"/>
        <v>1050137.77</v>
      </c>
      <c r="H271" s="42">
        <f t="shared" si="11"/>
        <v>1173254.3199999998</v>
      </c>
      <c r="I271" s="42">
        <f t="shared" si="11"/>
        <v>243452.99</v>
      </c>
      <c r="J271" s="42">
        <f t="shared" si="11"/>
        <v>40685.599999999999</v>
      </c>
      <c r="K271" s="42">
        <f t="shared" si="11"/>
        <v>145144.54</v>
      </c>
      <c r="L271" s="42">
        <f t="shared" si="11"/>
        <v>5302568.8999999994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46027.02</f>
        <v>46027.02</v>
      </c>
      <c r="G276" s="18">
        <f>9776.28+224.4+3465.42+6782</f>
        <v>20248.099999999999</v>
      </c>
      <c r="H276" s="18">
        <f>42117.1+3901.92</f>
        <v>46019.02</v>
      </c>
      <c r="I276" s="18">
        <f>392.92+24046.35</f>
        <v>24439.269999999997</v>
      </c>
      <c r="J276" s="18"/>
      <c r="K276" s="18"/>
      <c r="L276" s="19">
        <f>SUM(F276:K276)</f>
        <v>136733.40999999997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>
        <f>27896.98+9299+23928.72+1329.37</f>
        <v>62454.07</v>
      </c>
      <c r="I277" s="18"/>
      <c r="J277" s="18"/>
      <c r="K277" s="18"/>
      <c r="L277" s="19">
        <f>SUM(F277:K277)</f>
        <v>62454.07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>
        <f>27675.82</f>
        <v>27675.82</v>
      </c>
      <c r="I281" s="18"/>
      <c r="J281" s="18"/>
      <c r="K281" s="18"/>
      <c r="L281" s="19">
        <f t="shared" ref="L281:L287" si="12">SUM(F281:K281)</f>
        <v>27675.82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>
        <f>3690</f>
        <v>3690</v>
      </c>
      <c r="I282" s="18"/>
      <c r="J282" s="18"/>
      <c r="K282" s="18"/>
      <c r="L282" s="19">
        <f t="shared" si="12"/>
        <v>3690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46027.02</v>
      </c>
      <c r="G290" s="42">
        <f t="shared" si="13"/>
        <v>20248.099999999999</v>
      </c>
      <c r="H290" s="42">
        <f t="shared" si="13"/>
        <v>139838.91</v>
      </c>
      <c r="I290" s="42">
        <f t="shared" si="13"/>
        <v>24439.269999999997</v>
      </c>
      <c r="J290" s="42">
        <f t="shared" si="13"/>
        <v>0</v>
      </c>
      <c r="K290" s="42">
        <f t="shared" si="13"/>
        <v>0</v>
      </c>
      <c r="L290" s="41">
        <f t="shared" si="13"/>
        <v>230553.3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f>40121.93</f>
        <v>40121.93</v>
      </c>
      <c r="G314" s="18">
        <f>2934.6+2773.37+4001.78</f>
        <v>9709.75</v>
      </c>
      <c r="H314" s="18">
        <f>619.66</f>
        <v>619.66</v>
      </c>
      <c r="I314" s="18">
        <f>9388.62+300</f>
        <v>9688.6200000000008</v>
      </c>
      <c r="J314" s="18">
        <f>28281.23</f>
        <v>28281.23</v>
      </c>
      <c r="K314" s="18"/>
      <c r="L314" s="19">
        <f>SUM(F314:K314)</f>
        <v>88421.19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>
        <f>9299+1329.37</f>
        <v>10628.369999999999</v>
      </c>
      <c r="I315" s="18"/>
      <c r="J315" s="18"/>
      <c r="K315" s="18"/>
      <c r="L315" s="19">
        <f>SUM(F315:K315)</f>
        <v>10628.369999999999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40121.93</v>
      </c>
      <c r="G328" s="42">
        <f t="shared" si="17"/>
        <v>9709.75</v>
      </c>
      <c r="H328" s="42">
        <f t="shared" si="17"/>
        <v>11248.029999999999</v>
      </c>
      <c r="I328" s="42">
        <f t="shared" si="17"/>
        <v>9688.6200000000008</v>
      </c>
      <c r="J328" s="42">
        <f t="shared" si="17"/>
        <v>28281.23</v>
      </c>
      <c r="K328" s="42">
        <f t="shared" si="17"/>
        <v>0</v>
      </c>
      <c r="L328" s="41">
        <f t="shared" si="17"/>
        <v>99049.56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>
        <f>8295+634.26+1299.81+1067.33</f>
        <v>11296.4</v>
      </c>
      <c r="I333" s="18"/>
      <c r="J333" s="18"/>
      <c r="K333" s="18"/>
      <c r="L333" s="19">
        <f t="shared" si="18"/>
        <v>11296.4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11296.4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11296.4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86148.95</v>
      </c>
      <c r="G338" s="41">
        <f t="shared" si="20"/>
        <v>29957.85</v>
      </c>
      <c r="H338" s="41">
        <f t="shared" si="20"/>
        <v>162383.34</v>
      </c>
      <c r="I338" s="41">
        <f t="shared" si="20"/>
        <v>34127.89</v>
      </c>
      <c r="J338" s="41">
        <f t="shared" si="20"/>
        <v>28281.23</v>
      </c>
      <c r="K338" s="41">
        <f t="shared" si="20"/>
        <v>0</v>
      </c>
      <c r="L338" s="41">
        <f t="shared" si="20"/>
        <v>340899.26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86148.95</v>
      </c>
      <c r="G352" s="41">
        <f>G338</f>
        <v>29957.85</v>
      </c>
      <c r="H352" s="41">
        <f>H338</f>
        <v>162383.34</v>
      </c>
      <c r="I352" s="41">
        <f>I338</f>
        <v>34127.89</v>
      </c>
      <c r="J352" s="41">
        <f>J338</f>
        <v>28281.23</v>
      </c>
      <c r="K352" s="47">
        <f>K338+K351</f>
        <v>0</v>
      </c>
      <c r="L352" s="41">
        <f>L338+L351</f>
        <v>340899.26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v>107118.94</v>
      </c>
      <c r="I358" s="18"/>
      <c r="J358" s="18"/>
      <c r="K358" s="18"/>
      <c r="L358" s="13">
        <f>SUM(F358:K358)</f>
        <v>107118.94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>
        <v>68485</v>
      </c>
      <c r="I360" s="18"/>
      <c r="J360" s="18">
        <v>4828</v>
      </c>
      <c r="K360" s="18"/>
      <c r="L360" s="19">
        <f>SUM(F360:K360)</f>
        <v>73313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175603.94</v>
      </c>
      <c r="I362" s="47">
        <f t="shared" si="22"/>
        <v>0</v>
      </c>
      <c r="J362" s="47">
        <f t="shared" si="22"/>
        <v>4828</v>
      </c>
      <c r="K362" s="47">
        <f t="shared" si="22"/>
        <v>0</v>
      </c>
      <c r="L362" s="47">
        <f t="shared" si="22"/>
        <v>180431.94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60000</v>
      </c>
      <c r="H396" s="18">
        <v>1157.1199999999999</v>
      </c>
      <c r="I396" s="18"/>
      <c r="J396" s="24" t="s">
        <v>288</v>
      </c>
      <c r="K396" s="24" t="s">
        <v>288</v>
      </c>
      <c r="L396" s="56">
        <f t="shared" si="26"/>
        <v>61157.120000000003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1123.51</v>
      </c>
      <c r="I397" s="18"/>
      <c r="J397" s="24" t="s">
        <v>288</v>
      </c>
      <c r="K397" s="24" t="s">
        <v>288</v>
      </c>
      <c r="L397" s="56">
        <f t="shared" si="26"/>
        <v>1123.51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60000</v>
      </c>
      <c r="H401" s="47">
        <f>SUM(H395:H400)</f>
        <v>2280.63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62280.630000000005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60000</v>
      </c>
      <c r="H408" s="47">
        <f>H393+H401+H407</f>
        <v>2280.63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62280.630000000005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>
        <v>63000</v>
      </c>
      <c r="L422" s="56">
        <f t="shared" si="29"/>
        <v>63000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63000</v>
      </c>
      <c r="L427" s="47">
        <f t="shared" si="30"/>
        <v>63000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63000</v>
      </c>
      <c r="L434" s="47">
        <f t="shared" si="32"/>
        <v>63000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>
        <v>328644.94</v>
      </c>
      <c r="H439" s="18"/>
      <c r="I439" s="56">
        <f t="shared" ref="I439:I445" si="33">SUM(F439:H439)</f>
        <v>328644.94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328644.94</v>
      </c>
      <c r="H446" s="13">
        <f>SUM(H439:H445)</f>
        <v>0</v>
      </c>
      <c r="I446" s="13">
        <f>SUM(I439:I445)</f>
        <v>328644.94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>
        <v>328644.94</v>
      </c>
      <c r="H456" s="18"/>
      <c r="I456" s="56">
        <f t="shared" si="34"/>
        <v>328644.94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328644.94</v>
      </c>
      <c r="H460" s="83">
        <f>SUM(H454:H459)</f>
        <v>0</v>
      </c>
      <c r="I460" s="83">
        <f>SUM(I454:I459)</f>
        <v>328644.94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328644.94</v>
      </c>
      <c r="H461" s="42">
        <f>H452+H460</f>
        <v>0</v>
      </c>
      <c r="I461" s="42">
        <f>I452+I460</f>
        <v>328644.94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173254.91</v>
      </c>
      <c r="G465" s="18"/>
      <c r="H465" s="18"/>
      <c r="I465" s="18"/>
      <c r="J465" s="18">
        <v>329364.31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5563830.5800000001</v>
      </c>
      <c r="G468" s="18">
        <v>180431.94</v>
      </c>
      <c r="H468" s="18">
        <v>340899.26</v>
      </c>
      <c r="I468" s="18"/>
      <c r="J468" s="18">
        <v>62280.63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5563830.5800000001</v>
      </c>
      <c r="G470" s="53">
        <f>SUM(G468:G469)</f>
        <v>180431.94</v>
      </c>
      <c r="H470" s="53">
        <f>SUM(H468:H469)</f>
        <v>340899.26</v>
      </c>
      <c r="I470" s="53">
        <f>SUM(I468:I469)</f>
        <v>0</v>
      </c>
      <c r="J470" s="53">
        <f>SUM(J468:J469)</f>
        <v>62280.63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5302568.9000000004</v>
      </c>
      <c r="G472" s="18">
        <v>180431.94</v>
      </c>
      <c r="H472" s="18">
        <v>340899.26</v>
      </c>
      <c r="I472" s="18"/>
      <c r="J472" s="18">
        <v>63000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5302568.9000000004</v>
      </c>
      <c r="G474" s="53">
        <f>SUM(G472:G473)</f>
        <v>180431.94</v>
      </c>
      <c r="H474" s="53">
        <f>SUM(H472:H473)</f>
        <v>340899.26</v>
      </c>
      <c r="I474" s="53">
        <f>SUM(I472:I473)</f>
        <v>0</v>
      </c>
      <c r="J474" s="53">
        <f>SUM(J472:J473)</f>
        <v>63000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434516.58999999985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328644.94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10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225501.31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5.39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75000</v>
      </c>
      <c r="G495" s="18"/>
      <c r="H495" s="18"/>
      <c r="I495" s="18"/>
      <c r="J495" s="18"/>
      <c r="K495" s="53">
        <f>SUM(F495:J495)</f>
        <v>75000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18638.25</v>
      </c>
      <c r="G497" s="18"/>
      <c r="H497" s="18"/>
      <c r="I497" s="18"/>
      <c r="J497" s="18"/>
      <c r="K497" s="53">
        <f t="shared" si="35"/>
        <v>18638.25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60000</v>
      </c>
      <c r="G498" s="204"/>
      <c r="H498" s="204"/>
      <c r="I498" s="204"/>
      <c r="J498" s="204"/>
      <c r="K498" s="205">
        <f t="shared" si="35"/>
        <v>60000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6468</v>
      </c>
      <c r="G499" s="18"/>
      <c r="H499" s="18"/>
      <c r="I499" s="18"/>
      <c r="J499" s="18"/>
      <c r="K499" s="53">
        <f t="shared" si="35"/>
        <v>6468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66468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66468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15000</v>
      </c>
      <c r="G501" s="204"/>
      <c r="H501" s="204"/>
      <c r="I501" s="204"/>
      <c r="J501" s="204"/>
      <c r="K501" s="205">
        <f t="shared" si="35"/>
        <v>15000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2829.75</v>
      </c>
      <c r="G502" s="18"/>
      <c r="H502" s="18"/>
      <c r="I502" s="18"/>
      <c r="J502" s="18"/>
      <c r="K502" s="53">
        <f t="shared" si="35"/>
        <v>2829.75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17829.75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17829.75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91908.34+49731.81+112069.97+29168.38+3072+768+8218.85+4479.63+791.89+10681.99+4888.39</f>
        <v>315779.25</v>
      </c>
      <c r="G521" s="18">
        <f>26502.7+2610.31+573.55+274.33+15955.23+6725.52+14868.91+7792.97+200+2234.98+541.78+1088.99+365.75+817.23+373.98+221.91+102.53</f>
        <v>81250.67</v>
      </c>
      <c r="H521" s="18">
        <f>28021.88+39043.2</f>
        <v>67065.08</v>
      </c>
      <c r="I521" s="18">
        <f>204.72+250.36+282.46+589.76</f>
        <v>1327.3</v>
      </c>
      <c r="J521" s="18">
        <v>379</v>
      </c>
      <c r="K521" s="18"/>
      <c r="L521" s="88">
        <f>SUM(F521:K521)</f>
        <v>465801.3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f>27008.19+15764.7+45+3778.03+805.94+2534.62</f>
        <v>49936.480000000003</v>
      </c>
      <c r="G523" s="18">
        <f>4444.64+159.11+3625.93+4234.55+270+521.48+280.95+193.88</f>
        <v>13730.539999999999</v>
      </c>
      <c r="H523" s="18">
        <f>25000+90292.33</f>
        <v>115292.33</v>
      </c>
      <c r="I523" s="18">
        <f>134.21+564.69</f>
        <v>698.90000000000009</v>
      </c>
      <c r="J523" s="18"/>
      <c r="K523" s="18"/>
      <c r="L523" s="88">
        <f>SUM(F523:K523)</f>
        <v>179658.25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365715.73</v>
      </c>
      <c r="G524" s="108">
        <f t="shared" ref="G524:L524" si="36">SUM(G521:G523)</f>
        <v>94981.209999999992</v>
      </c>
      <c r="H524" s="108">
        <f t="shared" si="36"/>
        <v>182357.41</v>
      </c>
      <c r="I524" s="108">
        <f t="shared" si="36"/>
        <v>2026.2</v>
      </c>
      <c r="J524" s="108">
        <f t="shared" si="36"/>
        <v>379</v>
      </c>
      <c r="K524" s="108">
        <f t="shared" si="36"/>
        <v>0</v>
      </c>
      <c r="L524" s="89">
        <f t="shared" si="36"/>
        <v>645459.55000000005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f>21379.49+21122.42+24074.3+6992.02+32318.18+27896.98+9299+23928.72+1329.37+27675.82</f>
        <v>196016.30000000002</v>
      </c>
      <c r="I526" s="18"/>
      <c r="J526" s="18"/>
      <c r="K526" s="18"/>
      <c r="L526" s="88">
        <f>SUM(F526:K526)</f>
        <v>196016.30000000002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>
        <f>25392.09+3949.96+9299+1329.37</f>
        <v>39970.420000000006</v>
      </c>
      <c r="I528" s="18"/>
      <c r="J528" s="18"/>
      <c r="K528" s="18"/>
      <c r="L528" s="88">
        <f>SUM(F528:K528)</f>
        <v>39970.420000000006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235986.72000000003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235986.72000000003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f>14363.8+10506.62+6853.44+5012.67</f>
        <v>36736.53</v>
      </c>
      <c r="G531" s="18">
        <f>8263.59+6044.54+138.73+101.59+1606.3+1174.86+765.57+559.94+2250.79+1646.31+2084.94+1495.62+106.27+70.83+81.67+56.44</f>
        <v>26447.989999999998</v>
      </c>
      <c r="H531" s="18">
        <f>177.37+126.69+298.1+431.85+850+650</f>
        <v>2534.0100000000002</v>
      </c>
      <c r="I531" s="18">
        <f>444.68+257.46+51.8</f>
        <v>753.93999999999994</v>
      </c>
      <c r="J531" s="18"/>
      <c r="K531" s="18">
        <f>2301.08+1869.61</f>
        <v>4170.6899999999996</v>
      </c>
      <c r="L531" s="88">
        <f>SUM(F531:K531)</f>
        <v>70643.16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f>19458.47+9279.46</f>
        <v>28737.93</v>
      </c>
      <c r="G533" s="18">
        <f>11195.27+188.05+2176.79+1036.49+3049.24+2461.44+132.87+106.14</f>
        <v>20346.289999999997</v>
      </c>
      <c r="H533" s="18">
        <f>202.74+198.25+700</f>
        <v>1100.99</v>
      </c>
      <c r="I533" s="18">
        <v>257.44</v>
      </c>
      <c r="J533" s="18"/>
      <c r="K533" s="18">
        <v>2393.4</v>
      </c>
      <c r="L533" s="88">
        <f>SUM(F533:K533)</f>
        <v>52836.05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65474.46</v>
      </c>
      <c r="G534" s="89">
        <f t="shared" ref="G534:L534" si="38">SUM(G531:G533)</f>
        <v>46794.28</v>
      </c>
      <c r="H534" s="89">
        <f t="shared" si="38"/>
        <v>3635</v>
      </c>
      <c r="I534" s="89">
        <f t="shared" si="38"/>
        <v>1011.3799999999999</v>
      </c>
      <c r="J534" s="89">
        <f t="shared" si="38"/>
        <v>0</v>
      </c>
      <c r="K534" s="89">
        <f t="shared" si="38"/>
        <v>6564.09</v>
      </c>
      <c r="L534" s="89">
        <f t="shared" si="38"/>
        <v>123479.21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f>5378</f>
        <v>5378</v>
      </c>
      <c r="I536" s="18"/>
      <c r="J536" s="18"/>
      <c r="K536" s="18"/>
      <c r="L536" s="88">
        <f>SUM(F536:K536)</f>
        <v>5378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5378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5378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733.6</v>
      </c>
      <c r="I541" s="18"/>
      <c r="J541" s="18"/>
      <c r="K541" s="18"/>
      <c r="L541" s="88">
        <f>SUM(F541:K541)</f>
        <v>733.6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16128.82</v>
      </c>
      <c r="I543" s="18"/>
      <c r="J543" s="18"/>
      <c r="K543" s="18"/>
      <c r="L543" s="88">
        <f>SUM(F543:K543)</f>
        <v>16128.82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16862.419999999998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16862.419999999998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431190.19</v>
      </c>
      <c r="G545" s="89">
        <f t="shared" ref="G545:L545" si="41">G524+G529+G534+G539+G544</f>
        <v>141775.49</v>
      </c>
      <c r="H545" s="89">
        <f t="shared" si="41"/>
        <v>444219.55</v>
      </c>
      <c r="I545" s="89">
        <f t="shared" si="41"/>
        <v>3037.58</v>
      </c>
      <c r="J545" s="89">
        <f t="shared" si="41"/>
        <v>379</v>
      </c>
      <c r="K545" s="89">
        <f t="shared" si="41"/>
        <v>6564.09</v>
      </c>
      <c r="L545" s="89">
        <f t="shared" si="41"/>
        <v>1027165.9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465801.3</v>
      </c>
      <c r="G549" s="87">
        <f>L526</f>
        <v>196016.30000000002</v>
      </c>
      <c r="H549" s="87">
        <f>L531</f>
        <v>70643.16</v>
      </c>
      <c r="I549" s="87">
        <f>L536</f>
        <v>5378</v>
      </c>
      <c r="J549" s="87">
        <f>L541</f>
        <v>733.6</v>
      </c>
      <c r="K549" s="87">
        <f>SUM(F549:J549)</f>
        <v>738572.36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179658.25</v>
      </c>
      <c r="G551" s="87">
        <f>L528</f>
        <v>39970.420000000006</v>
      </c>
      <c r="H551" s="87">
        <f>L533</f>
        <v>52836.05</v>
      </c>
      <c r="I551" s="87">
        <f>L538</f>
        <v>0</v>
      </c>
      <c r="J551" s="87">
        <f>L543</f>
        <v>16128.82</v>
      </c>
      <c r="K551" s="87">
        <f>SUM(F551:J551)</f>
        <v>288593.54000000004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645459.55000000005</v>
      </c>
      <c r="G552" s="89">
        <f t="shared" si="42"/>
        <v>235986.72000000003</v>
      </c>
      <c r="H552" s="89">
        <f t="shared" si="42"/>
        <v>123479.21</v>
      </c>
      <c r="I552" s="89">
        <f t="shared" si="42"/>
        <v>5378</v>
      </c>
      <c r="J552" s="89">
        <f t="shared" si="42"/>
        <v>16862.419999999998</v>
      </c>
      <c r="K552" s="89">
        <f t="shared" si="42"/>
        <v>1027165.9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28021.88</v>
      </c>
      <c r="G579" s="18"/>
      <c r="H579" s="18">
        <v>25000</v>
      </c>
      <c r="I579" s="87">
        <f t="shared" si="47"/>
        <v>53021.880000000005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39043.199999999997</v>
      </c>
      <c r="G582" s="18"/>
      <c r="H582" s="18">
        <v>90292.33</v>
      </c>
      <c r="I582" s="87">
        <f t="shared" si="47"/>
        <v>129335.53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44641.89</v>
      </c>
      <c r="I584" s="87">
        <f t="shared" si="47"/>
        <v>44641.89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60377</v>
      </c>
      <c r="I591" s="18"/>
      <c r="J591" s="18">
        <v>38601</v>
      </c>
      <c r="K591" s="104">
        <f t="shared" ref="K591:K597" si="48">SUM(H591:J591)</f>
        <v>98978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733.6</v>
      </c>
      <c r="I592" s="18"/>
      <c r="J592" s="18">
        <v>16128.82</v>
      </c>
      <c r="K592" s="104">
        <f t="shared" si="48"/>
        <v>16862.419999999998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28465</v>
      </c>
      <c r="K593" s="104">
        <f t="shared" si="48"/>
        <v>28465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f>3191.05+4027.05</f>
        <v>7218.1</v>
      </c>
      <c r="I594" s="18"/>
      <c r="J594" s="18">
        <v>13948.08</v>
      </c>
      <c r="K594" s="104">
        <f t="shared" si="48"/>
        <v>21166.18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f>1500+2106.2</f>
        <v>3606.2</v>
      </c>
      <c r="I595" s="18"/>
      <c r="J595" s="18">
        <v>2038.99</v>
      </c>
      <c r="K595" s="104">
        <f t="shared" si="48"/>
        <v>5645.19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71934.899999999994</v>
      </c>
      <c r="I598" s="108">
        <f>SUM(I591:I597)</f>
        <v>0</v>
      </c>
      <c r="J598" s="108">
        <f>SUM(J591:J597)</f>
        <v>99181.890000000014</v>
      </c>
      <c r="K598" s="108">
        <f>SUM(K591:K597)</f>
        <v>171116.78999999998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24465.1</v>
      </c>
      <c r="I604" s="18"/>
      <c r="J604" s="18">
        <v>44501.73</v>
      </c>
      <c r="K604" s="104">
        <f>SUM(H604:J604)</f>
        <v>68966.83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24465.1</v>
      </c>
      <c r="I605" s="108">
        <f>SUM(I602:I604)</f>
        <v>0</v>
      </c>
      <c r="J605" s="108">
        <f>SUM(J602:J604)</f>
        <v>44501.73</v>
      </c>
      <c r="K605" s="108">
        <f>SUM(K602:K604)</f>
        <v>68966.83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447910.19999999995</v>
      </c>
      <c r="H617" s="109">
        <f>SUM(F52)</f>
        <v>447910.2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7905.23</v>
      </c>
      <c r="H618" s="109">
        <f>SUM(G52)</f>
        <v>7905.23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50107.88</v>
      </c>
      <c r="H619" s="109">
        <f>SUM(H52)</f>
        <v>50107.88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328644.94</v>
      </c>
      <c r="H621" s="109">
        <f>SUM(J52)</f>
        <v>328644.94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434516.59</v>
      </c>
      <c r="H622" s="109">
        <f>F476</f>
        <v>434516.58999999985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328644.94</v>
      </c>
      <c r="H626" s="109">
        <f>J476</f>
        <v>328644.94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5563830.5800000001</v>
      </c>
      <c r="H627" s="104">
        <f>SUM(F468)</f>
        <v>5563830.5800000001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180431.94</v>
      </c>
      <c r="H628" s="104">
        <f>SUM(G468)</f>
        <v>180431.94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340899.26</v>
      </c>
      <c r="H629" s="104">
        <f>SUM(H468)</f>
        <v>340899.26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62280.63</v>
      </c>
      <c r="H631" s="104">
        <f>SUM(J468)</f>
        <v>62280.63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5302568.8999999994</v>
      </c>
      <c r="H632" s="104">
        <f>SUM(F472)</f>
        <v>5302568.9000000004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340899.26</v>
      </c>
      <c r="H633" s="104">
        <f>SUM(H472)</f>
        <v>340899.26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180431.94</v>
      </c>
      <c r="H635" s="104">
        <f>SUM(G472)</f>
        <v>180431.94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62280.630000000005</v>
      </c>
      <c r="H637" s="164">
        <f>SUM(J468)</f>
        <v>62280.63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63000</v>
      </c>
      <c r="H638" s="164">
        <f>SUM(J472)</f>
        <v>63000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328644.94</v>
      </c>
      <c r="H640" s="104">
        <f>SUM(G461)</f>
        <v>328644.94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328644.94</v>
      </c>
      <c r="H642" s="104">
        <f>SUM(I461)</f>
        <v>328644.94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2280.63</v>
      </c>
      <c r="H644" s="104">
        <f>H408</f>
        <v>2280.63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60000</v>
      </c>
      <c r="H645" s="104">
        <f>G408</f>
        <v>60000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62280.63</v>
      </c>
      <c r="H646" s="104">
        <f>L408</f>
        <v>62280.630000000005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171116.78999999998</v>
      </c>
      <c r="H647" s="104">
        <f>L208+L226+L244</f>
        <v>171116.79000000004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68966.83</v>
      </c>
      <c r="H648" s="104">
        <f>(J257+J338)-(J255+J336)</f>
        <v>68966.83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71934.900000000009</v>
      </c>
      <c r="H649" s="104">
        <f>H598</f>
        <v>71934.899999999994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99181.890000000014</v>
      </c>
      <c r="H651" s="104">
        <f>J598</f>
        <v>99181.890000000014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8362.69</v>
      </c>
      <c r="H652" s="104">
        <f>K263+K345</f>
        <v>8362.69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60000</v>
      </c>
      <c r="H655" s="104">
        <f>K266+K347</f>
        <v>60000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3390283.9399999995</v>
      </c>
      <c r="G660" s="19">
        <f>(L229+L309+L359)</f>
        <v>0</v>
      </c>
      <c r="H660" s="19">
        <f>(L247+L328+L360)</f>
        <v>2196616.4299999997</v>
      </c>
      <c r="I660" s="19">
        <f>SUM(F660:H660)</f>
        <v>5586900.3699999992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27459.715965194409</v>
      </c>
      <c r="G661" s="19">
        <f>(L359/IF(SUM(L358:L360)=0,1,SUM(L358:L360))*(SUM(G97:G110)))</f>
        <v>0</v>
      </c>
      <c r="H661" s="19">
        <f>(L360/IF(SUM(L358:L360)=0,1,SUM(L358:L360))*(SUM(G97:G110)))</f>
        <v>18793.634034805589</v>
      </c>
      <c r="I661" s="19">
        <f>SUM(F661:H661)</f>
        <v>46253.35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71934.900000000009</v>
      </c>
      <c r="G662" s="19">
        <f>(L226+L306)-(J226+J306)</f>
        <v>0</v>
      </c>
      <c r="H662" s="19">
        <f>(L244+L325)-(J244+J325)</f>
        <v>99181.890000000014</v>
      </c>
      <c r="I662" s="19">
        <f>SUM(F662:H662)</f>
        <v>171116.79000000004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91530.18</v>
      </c>
      <c r="G663" s="199">
        <f>SUM(G575:G587)+SUM(I602:I604)+L612</f>
        <v>0</v>
      </c>
      <c r="H663" s="199">
        <f>SUM(H575:H587)+SUM(J602:J604)+L613</f>
        <v>204435.95</v>
      </c>
      <c r="I663" s="19">
        <f>SUM(F663:H663)</f>
        <v>295966.13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3199359.1440348052</v>
      </c>
      <c r="G664" s="19">
        <f>G660-SUM(G661:G663)</f>
        <v>0</v>
      </c>
      <c r="H664" s="19">
        <f>H660-SUM(H661:H663)</f>
        <v>1874204.9559651942</v>
      </c>
      <c r="I664" s="19">
        <f>I660-SUM(I661:I663)</f>
        <v>5073564.0999999996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211.97</v>
      </c>
      <c r="G665" s="248"/>
      <c r="H665" s="248">
        <v>137.04</v>
      </c>
      <c r="I665" s="19">
        <f>SUM(F665:H665)</f>
        <v>349.01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15093.45</v>
      </c>
      <c r="G667" s="19" t="e">
        <f>ROUND(G664/G665,2)</f>
        <v>#DIV/0!</v>
      </c>
      <c r="H667" s="19">
        <f>ROUND(H664/H665,2)</f>
        <v>13676.34</v>
      </c>
      <c r="I667" s="19">
        <f>ROUND(I664/I665,2)</f>
        <v>14537.02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-8.89</v>
      </c>
      <c r="I670" s="19">
        <f>SUM(F670:H670)</f>
        <v>-8.89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15093.45</v>
      </c>
      <c r="G672" s="19" t="e">
        <f>ROUND((G664+G669)/(G665+G670),2)</f>
        <v>#DIV/0!</v>
      </c>
      <c r="H672" s="19">
        <f>ROUND((H664+H669)/(H665+H670),2)</f>
        <v>14625.09</v>
      </c>
      <c r="I672" s="19">
        <f>ROUND((I664+I669)/(I665+I670),2)</f>
        <v>14916.98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NORTHUMBERLAND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1546800.76</v>
      </c>
      <c r="C9" s="229">
        <f>'DOE25'!G197+'DOE25'!G215+'DOE25'!G233+'DOE25'!G276+'DOE25'!G295+'DOE25'!G314</f>
        <v>639161.99</v>
      </c>
    </row>
    <row r="10" spans="1:3" x14ac:dyDescent="0.2">
      <c r="A10" t="s">
        <v>778</v>
      </c>
      <c r="B10" s="240">
        <f>1546800.76-61410.78</f>
        <v>1485389.98</v>
      </c>
      <c r="C10" s="240">
        <f>639161.99-4697.92</f>
        <v>634464.06999999995</v>
      </c>
    </row>
    <row r="11" spans="1:3" x14ac:dyDescent="0.2">
      <c r="A11" t="s">
        <v>779</v>
      </c>
      <c r="B11" s="240">
        <v>61410.78</v>
      </c>
      <c r="C11" s="240">
        <v>4697.92</v>
      </c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1546800.76</v>
      </c>
      <c r="C13" s="231">
        <f>SUM(C10:C12)</f>
        <v>639161.99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365715.73</v>
      </c>
      <c r="C18" s="229">
        <f>'DOE25'!G198+'DOE25'!G216+'DOE25'!G234+'DOE25'!G277+'DOE25'!G296+'DOE25'!G315</f>
        <v>94981.209999999992</v>
      </c>
    </row>
    <row r="19" spans="1:3" x14ac:dyDescent="0.2">
      <c r="A19" t="s">
        <v>778</v>
      </c>
      <c r="B19" s="240">
        <f>365715.73-181230.51</f>
        <v>184485.21999999997</v>
      </c>
      <c r="C19" s="240">
        <f>94981.21-13864.13</f>
        <v>81117.08</v>
      </c>
    </row>
    <row r="20" spans="1:3" x14ac:dyDescent="0.2">
      <c r="A20" t="s">
        <v>779</v>
      </c>
      <c r="B20" s="240">
        <v>181230.51</v>
      </c>
      <c r="C20" s="240">
        <v>13864.13</v>
      </c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365715.73</v>
      </c>
      <c r="C22" s="231">
        <f>SUM(C19:C21)</f>
        <v>94981.21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49052.979999999996</v>
      </c>
      <c r="C36" s="235">
        <f>'DOE25'!G200+'DOE25'!G218+'DOE25'!G236+'DOE25'!G279+'DOE25'!G298+'DOE25'!G317</f>
        <v>7883.13</v>
      </c>
    </row>
    <row r="37" spans="1:3" x14ac:dyDescent="0.2">
      <c r="A37" t="s">
        <v>778</v>
      </c>
      <c r="B37" s="240">
        <f>49052.98-22171</f>
        <v>26881.980000000003</v>
      </c>
      <c r="C37" s="240">
        <f>7883.13-1696.08</f>
        <v>6187.05</v>
      </c>
    </row>
    <row r="38" spans="1:3" x14ac:dyDescent="0.2">
      <c r="A38" t="s">
        <v>779</v>
      </c>
      <c r="B38" s="240">
        <v>22171</v>
      </c>
      <c r="C38" s="240">
        <v>1696.08</v>
      </c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49052.98</v>
      </c>
      <c r="C40" s="231">
        <f>SUM(C37:C39)</f>
        <v>7883.13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NORTHUMBERLAND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3049539</v>
      </c>
      <c r="D5" s="20">
        <f>SUM('DOE25'!L197:L200)+SUM('DOE25'!L215:L218)+SUM('DOE25'!L233:L236)-F5-G5</f>
        <v>3029868.21</v>
      </c>
      <c r="E5" s="243"/>
      <c r="F5" s="255">
        <f>SUM('DOE25'!J197:J200)+SUM('DOE25'!J215:J218)+SUM('DOE25'!J233:J236)</f>
        <v>11128.59</v>
      </c>
      <c r="G5" s="53">
        <f>SUM('DOE25'!K197:K200)+SUM('DOE25'!K215:K218)+SUM('DOE25'!K233:K236)</f>
        <v>8542.2000000000007</v>
      </c>
      <c r="H5" s="259"/>
    </row>
    <row r="6" spans="1:9" x14ac:dyDescent="0.2">
      <c r="A6" s="32">
        <v>2100</v>
      </c>
      <c r="B6" t="s">
        <v>800</v>
      </c>
      <c r="C6" s="245">
        <f t="shared" si="0"/>
        <v>299878.16000000003</v>
      </c>
      <c r="D6" s="20">
        <f>'DOE25'!L202+'DOE25'!L220+'DOE25'!L238-F6-G6</f>
        <v>298116.47000000003</v>
      </c>
      <c r="E6" s="243"/>
      <c r="F6" s="255">
        <f>'DOE25'!J202+'DOE25'!J220+'DOE25'!J238</f>
        <v>503.39</v>
      </c>
      <c r="G6" s="53">
        <f>'DOE25'!K202+'DOE25'!K220+'DOE25'!K238</f>
        <v>1258.3</v>
      </c>
      <c r="H6" s="259"/>
    </row>
    <row r="7" spans="1:9" x14ac:dyDescent="0.2">
      <c r="A7" s="32">
        <v>2200</v>
      </c>
      <c r="B7" t="s">
        <v>833</v>
      </c>
      <c r="C7" s="245">
        <f t="shared" si="0"/>
        <v>142292.35</v>
      </c>
      <c r="D7" s="20">
        <f>'DOE25'!L203+'DOE25'!L221+'DOE25'!L239-F7-G7</f>
        <v>142302.33000000002</v>
      </c>
      <c r="E7" s="243"/>
      <c r="F7" s="255">
        <f>'DOE25'!J203+'DOE25'!J221+'DOE25'!J239</f>
        <v>-9.98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227976.38</v>
      </c>
      <c r="D8" s="243"/>
      <c r="E8" s="20">
        <f>'DOE25'!L204+'DOE25'!L222+'DOE25'!L240-F8-G8-D9-D11</f>
        <v>223638.63</v>
      </c>
      <c r="F8" s="255">
        <f>'DOE25'!J204+'DOE25'!J222+'DOE25'!J240</f>
        <v>0</v>
      </c>
      <c r="G8" s="53">
        <f>'DOE25'!K204+'DOE25'!K222+'DOE25'!K240</f>
        <v>4337.75</v>
      </c>
      <c r="H8" s="259"/>
    </row>
    <row r="9" spans="1:9" x14ac:dyDescent="0.2">
      <c r="A9" s="32">
        <v>2310</v>
      </c>
      <c r="B9" t="s">
        <v>817</v>
      </c>
      <c r="C9" s="245">
        <f t="shared" si="0"/>
        <v>36690.01</v>
      </c>
      <c r="D9" s="244">
        <v>36690.01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10000</v>
      </c>
      <c r="D10" s="243"/>
      <c r="E10" s="244">
        <v>10000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115729.73</v>
      </c>
      <c r="D11" s="244">
        <v>115729.73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608362.48</v>
      </c>
      <c r="D12" s="20">
        <f>'DOE25'!L205+'DOE25'!L223+'DOE25'!L241-F12-G12</f>
        <v>565666.53</v>
      </c>
      <c r="E12" s="243"/>
      <c r="F12" s="255">
        <f>'DOE25'!J205+'DOE25'!J223+'DOE25'!J241</f>
        <v>28485.599999999999</v>
      </c>
      <c r="G12" s="53">
        <f>'DOE25'!K205+'DOE25'!K223+'DOE25'!K241</f>
        <v>14210.35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425280.67</v>
      </c>
      <c r="D14" s="20">
        <f>'DOE25'!L207+'DOE25'!L225+'DOE25'!L243-F14-G14</f>
        <v>424702.67</v>
      </c>
      <c r="E14" s="243"/>
      <c r="F14" s="255">
        <f>'DOE25'!J207+'DOE25'!J225+'DOE25'!J243</f>
        <v>578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171116.79000000004</v>
      </c>
      <c r="D15" s="20">
        <f>'DOE25'!L208+'DOE25'!L226+'DOE25'!L244-F15-G15</f>
        <v>171116.79000000004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108907.39</v>
      </c>
      <c r="D22" s="243"/>
      <c r="E22" s="243"/>
      <c r="F22" s="255">
        <f>'DOE25'!L255+'DOE25'!L336</f>
        <v>108907.39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18638.25</v>
      </c>
      <c r="D25" s="243"/>
      <c r="E25" s="243"/>
      <c r="F25" s="258"/>
      <c r="G25" s="256"/>
      <c r="H25" s="257">
        <f>'DOE25'!L260+'DOE25'!L261+'DOE25'!L341+'DOE25'!L342</f>
        <v>18638.25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180431.94</v>
      </c>
      <c r="D29" s="20">
        <f>'DOE25'!L358+'DOE25'!L359+'DOE25'!L360-'DOE25'!I367-F29-G29</f>
        <v>175603.94</v>
      </c>
      <c r="E29" s="243"/>
      <c r="F29" s="255">
        <f>'DOE25'!J358+'DOE25'!J359+'DOE25'!J360</f>
        <v>4828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340899.26</v>
      </c>
      <c r="D31" s="20">
        <f>'DOE25'!L290+'DOE25'!L309+'DOE25'!L328+'DOE25'!L333+'DOE25'!L334+'DOE25'!L335-F31-G31</f>
        <v>312618.03000000003</v>
      </c>
      <c r="E31" s="243"/>
      <c r="F31" s="255">
        <f>'DOE25'!J290+'DOE25'!J309+'DOE25'!J328+'DOE25'!J333+'DOE25'!J334+'DOE25'!J335</f>
        <v>28281.23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5272414.7100000009</v>
      </c>
      <c r="E33" s="246">
        <f>SUM(E5:E31)</f>
        <v>233638.63</v>
      </c>
      <c r="F33" s="246">
        <f>SUM(F5:F31)</f>
        <v>182702.22</v>
      </c>
      <c r="G33" s="246">
        <f>SUM(G5:G31)</f>
        <v>28348.6</v>
      </c>
      <c r="H33" s="246">
        <f>SUM(H5:H31)</f>
        <v>18638.25</v>
      </c>
    </row>
    <row r="35" spans="2:8" ht="12" thickBot="1" x14ac:dyDescent="0.25">
      <c r="B35" s="253" t="s">
        <v>846</v>
      </c>
      <c r="D35" s="254">
        <f>E33</f>
        <v>233638.63</v>
      </c>
      <c r="E35" s="249"/>
    </row>
    <row r="36" spans="2:8" ht="12" thickTop="1" x14ac:dyDescent="0.2">
      <c r="B36" t="s">
        <v>814</v>
      </c>
      <c r="D36" s="20">
        <f>D33</f>
        <v>5272414.7100000009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NORTHUMBERLAND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389897.08999999997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328644.94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58013.11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7905.23</v>
      </c>
      <c r="E13" s="95">
        <f>'DOE25'!H14</f>
        <v>50107.88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447910.19999999995</v>
      </c>
      <c r="D18" s="41">
        <f>SUM(D8:D17)</f>
        <v>7905.23</v>
      </c>
      <c r="E18" s="41">
        <f>SUM(E8:E17)</f>
        <v>50107.88</v>
      </c>
      <c r="F18" s="41">
        <f>SUM(F8:F17)</f>
        <v>0</v>
      </c>
      <c r="G18" s="41">
        <f>SUM(G8:G17)</f>
        <v>328644.94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7905.23</v>
      </c>
      <c r="E21" s="95">
        <f>'DOE25'!H22</f>
        <v>50107.88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13393.61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13393.61</v>
      </c>
      <c r="D31" s="41">
        <f>SUM(D21:D30)</f>
        <v>7905.23</v>
      </c>
      <c r="E31" s="41">
        <f>SUM(E21:E30)</f>
        <v>50107.88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328644.94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49425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385091.59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434516.59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328644.94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447910.2</v>
      </c>
      <c r="D51" s="41">
        <f>D50+D31</f>
        <v>7905.23</v>
      </c>
      <c r="E51" s="41">
        <f>E50+E31</f>
        <v>50107.88</v>
      </c>
      <c r="F51" s="41">
        <f>F50+F31</f>
        <v>0</v>
      </c>
      <c r="G51" s="41">
        <f>G50+G31</f>
        <v>328644.94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1790458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849286.91999999993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1673.25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2280.63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46253.35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13151.35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864111.5199999999</v>
      </c>
      <c r="D62" s="130">
        <f>SUM(D57:D61)</f>
        <v>46253.35</v>
      </c>
      <c r="E62" s="130">
        <f>SUM(E57:E61)</f>
        <v>0</v>
      </c>
      <c r="F62" s="130">
        <f>SUM(F57:F61)</f>
        <v>0</v>
      </c>
      <c r="G62" s="130">
        <f>SUM(G57:G61)</f>
        <v>2280.63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2654569.52</v>
      </c>
      <c r="D63" s="22">
        <f>D56+D62</f>
        <v>46253.35</v>
      </c>
      <c r="E63" s="22">
        <f>E56+E62</f>
        <v>0</v>
      </c>
      <c r="F63" s="22">
        <f>F56+F62</f>
        <v>0</v>
      </c>
      <c r="G63" s="22">
        <f>G56+G62</f>
        <v>2280.63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2575782.52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186556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1206.99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2763545.5100000002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9000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15122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2163.3000000000002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24122</v>
      </c>
      <c r="D78" s="130">
        <f>SUM(D72:D77)</f>
        <v>2163.3000000000002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2787667.5100000002</v>
      </c>
      <c r="D81" s="130">
        <f>SUM(D79:D80)+D78+D70</f>
        <v>2163.3000000000002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54867.92</v>
      </c>
      <c r="D88" s="95">
        <f>SUM('DOE25'!G153:G161)</f>
        <v>123652.6</v>
      </c>
      <c r="E88" s="95">
        <f>SUM('DOE25'!H153:H161)</f>
        <v>340899.26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336.63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55204.549999999996</v>
      </c>
      <c r="D91" s="131">
        <f>SUM(D85:D90)</f>
        <v>123652.6</v>
      </c>
      <c r="E91" s="131">
        <f>SUM(E85:E90)</f>
        <v>340899.26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3389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8362.69</v>
      </c>
      <c r="E96" s="95">
        <f>'DOE25'!H179</f>
        <v>0</v>
      </c>
      <c r="F96" s="95">
        <f>'DOE25'!I179</f>
        <v>0</v>
      </c>
      <c r="G96" s="95">
        <f>'DOE25'!J179</f>
        <v>60000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63000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66389</v>
      </c>
      <c r="D103" s="86">
        <f>SUM(D93:D102)</f>
        <v>8362.69</v>
      </c>
      <c r="E103" s="86">
        <f>SUM(E93:E102)</f>
        <v>0</v>
      </c>
      <c r="F103" s="86">
        <f>SUM(F93:F102)</f>
        <v>0</v>
      </c>
      <c r="G103" s="86">
        <f>SUM(G93:G102)</f>
        <v>60000</v>
      </c>
    </row>
    <row r="104" spans="1:7" ht="12.75" thickTop="1" thickBot="1" x14ac:dyDescent="0.25">
      <c r="A104" s="33" t="s">
        <v>764</v>
      </c>
      <c r="C104" s="86">
        <f>C63+C81+C91+C103</f>
        <v>5563830.5800000001</v>
      </c>
      <c r="D104" s="86">
        <f>D63+D81+D91+D103</f>
        <v>180431.94</v>
      </c>
      <c r="E104" s="86">
        <f>E63+E81+E91+E103</f>
        <v>340899.26</v>
      </c>
      <c r="F104" s="86">
        <f>F63+F81+F91+F103</f>
        <v>0</v>
      </c>
      <c r="G104" s="86">
        <f>G63+G81+G103</f>
        <v>62280.63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2164701.44</v>
      </c>
      <c r="D109" s="24" t="s">
        <v>288</v>
      </c>
      <c r="E109" s="95">
        <f>('DOE25'!L276)+('DOE25'!L295)+('DOE25'!L314)</f>
        <v>225154.59999999998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753158.07</v>
      </c>
      <c r="D110" s="24" t="s">
        <v>288</v>
      </c>
      <c r="E110" s="95">
        <f>('DOE25'!L277)+('DOE25'!L296)+('DOE25'!L315)</f>
        <v>73082.44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44641.89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87037.6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11296.4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3049539</v>
      </c>
      <c r="D115" s="86">
        <f>SUM(D109:D114)</f>
        <v>0</v>
      </c>
      <c r="E115" s="86">
        <f>SUM(E109:E114)</f>
        <v>309533.44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299878.16000000003</v>
      </c>
      <c r="D118" s="24" t="s">
        <v>288</v>
      </c>
      <c r="E118" s="95">
        <f>+('DOE25'!L281)+('DOE25'!L300)+('DOE25'!L319)</f>
        <v>27675.82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142292.35</v>
      </c>
      <c r="D119" s="24" t="s">
        <v>288</v>
      </c>
      <c r="E119" s="95">
        <f>+('DOE25'!L282)+('DOE25'!L301)+('DOE25'!L320)</f>
        <v>3690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380396.12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608362.48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425280.67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171116.79000000004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180431.94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2027326.5699999998</v>
      </c>
      <c r="D128" s="86">
        <f>SUM(D118:D127)</f>
        <v>180431.94</v>
      </c>
      <c r="E128" s="86">
        <f>SUM(E118:E127)</f>
        <v>31365.82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108907.39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15000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3638.25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63000</v>
      </c>
    </row>
    <row r="135" spans="1:7" x14ac:dyDescent="0.2">
      <c r="A135" t="s">
        <v>233</v>
      </c>
      <c r="B135" s="32" t="s">
        <v>234</v>
      </c>
      <c r="C135" s="95">
        <f>'DOE25'!L263</f>
        <v>8362.69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62280.630000000005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-2280.6300000000047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29795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225703.33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63000</v>
      </c>
    </row>
    <row r="145" spans="1:9" ht="12.75" thickTop="1" thickBot="1" x14ac:dyDescent="0.25">
      <c r="A145" s="33" t="s">
        <v>244</v>
      </c>
      <c r="C145" s="86">
        <f>(C115+C128+C144)</f>
        <v>5302568.9000000004</v>
      </c>
      <c r="D145" s="86">
        <f>(D115+D128+D144)</f>
        <v>180431.94</v>
      </c>
      <c r="E145" s="86">
        <f>(E115+E128+E144)</f>
        <v>340899.26</v>
      </c>
      <c r="F145" s="86">
        <f>(F115+F128+F144)</f>
        <v>0</v>
      </c>
      <c r="G145" s="86">
        <f>(G115+G128+G144)</f>
        <v>63000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09/10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09/20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225501.31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5.39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75000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75000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18638.25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18638.25</v>
      </c>
    </row>
    <row r="159" spans="1:9" x14ac:dyDescent="0.2">
      <c r="A159" s="22" t="s">
        <v>35</v>
      </c>
      <c r="B159" s="137">
        <f>'DOE25'!F498</f>
        <v>60000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60000</v>
      </c>
    </row>
    <row r="160" spans="1:9" x14ac:dyDescent="0.2">
      <c r="A160" s="22" t="s">
        <v>36</v>
      </c>
      <c r="B160" s="137">
        <f>'DOE25'!F499</f>
        <v>6468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6468</v>
      </c>
    </row>
    <row r="161" spans="1:7" x14ac:dyDescent="0.2">
      <c r="A161" s="22" t="s">
        <v>37</v>
      </c>
      <c r="B161" s="137">
        <f>'DOE25'!F500</f>
        <v>66468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66468</v>
      </c>
    </row>
    <row r="162" spans="1:7" x14ac:dyDescent="0.2">
      <c r="A162" s="22" t="s">
        <v>38</v>
      </c>
      <c r="B162" s="137">
        <f>'DOE25'!F501</f>
        <v>15000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15000</v>
      </c>
    </row>
    <row r="163" spans="1:7" x14ac:dyDescent="0.2">
      <c r="A163" s="22" t="s">
        <v>39</v>
      </c>
      <c r="B163" s="137">
        <f>'DOE25'!F502</f>
        <v>2829.75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2829.75</v>
      </c>
    </row>
    <row r="164" spans="1:7" x14ac:dyDescent="0.2">
      <c r="A164" s="22" t="s">
        <v>246</v>
      </c>
      <c r="B164" s="137">
        <f>'DOE25'!F503</f>
        <v>17829.75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17829.75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NORTHUMBERLAND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15093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14625</v>
      </c>
    </row>
    <row r="7" spans="1:4" x14ac:dyDescent="0.2">
      <c r="B7" t="s">
        <v>704</v>
      </c>
      <c r="C7" s="179">
        <f>IF('DOE25'!I665+'DOE25'!I670=0,0,ROUND('DOE25'!I672,0))</f>
        <v>14917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2389856</v>
      </c>
      <c r="D10" s="182">
        <f>ROUND((C10/$C$28)*100,1)</f>
        <v>42.8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826241</v>
      </c>
      <c r="D11" s="182">
        <f>ROUND((C11/$C$28)*100,1)</f>
        <v>14.8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44642</v>
      </c>
      <c r="D12" s="182">
        <f>ROUND((C12/$C$28)*100,1)</f>
        <v>0.8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87038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327554</v>
      </c>
      <c r="D15" s="182">
        <f t="shared" ref="D15:D27" si="0">ROUND((C15/$C$28)*100,1)</f>
        <v>5.9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145982</v>
      </c>
      <c r="D16" s="182">
        <f t="shared" si="0"/>
        <v>2.6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380396</v>
      </c>
      <c r="D17" s="182">
        <f t="shared" si="0"/>
        <v>6.8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608362</v>
      </c>
      <c r="D18" s="182">
        <f t="shared" si="0"/>
        <v>10.9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425281</v>
      </c>
      <c r="D20" s="182">
        <f t="shared" si="0"/>
        <v>7.6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171117</v>
      </c>
      <c r="D21" s="182">
        <f t="shared" si="0"/>
        <v>3.1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11296</v>
      </c>
      <c r="D24" s="182">
        <f t="shared" si="0"/>
        <v>0.2</v>
      </c>
    </row>
    <row r="25" spans="1:4" x14ac:dyDescent="0.2">
      <c r="A25">
        <v>5120</v>
      </c>
      <c r="B25" t="s">
        <v>719</v>
      </c>
      <c r="C25" s="179">
        <f>ROUND('DOE25'!L261+'DOE25'!L342,0)</f>
        <v>3638</v>
      </c>
      <c r="D25" s="182">
        <f t="shared" si="0"/>
        <v>0.1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29795</v>
      </c>
      <c r="D26" s="182">
        <f t="shared" si="0"/>
        <v>0.5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134178.65</v>
      </c>
      <c r="D27" s="182">
        <f t="shared" si="0"/>
        <v>2.4</v>
      </c>
    </row>
    <row r="28" spans="1:4" x14ac:dyDescent="0.2">
      <c r="B28" s="187" t="s">
        <v>722</v>
      </c>
      <c r="C28" s="180">
        <f>SUM(C10:C27)</f>
        <v>5585376.6500000004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108907</v>
      </c>
    </row>
    <row r="30" spans="1:4" x14ac:dyDescent="0.2">
      <c r="B30" s="187" t="s">
        <v>728</v>
      </c>
      <c r="C30" s="180">
        <f>SUM(C28:C29)</f>
        <v>5694283.6500000004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15000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1790458</v>
      </c>
      <c r="D35" s="182">
        <f t="shared" ref="D35:D40" si="1">ROUND((C35/$C$41)*100,1)</f>
        <v>30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869781.14999999991</v>
      </c>
      <c r="D36" s="182">
        <f t="shared" si="1"/>
        <v>14.6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2762339</v>
      </c>
      <c r="D37" s="182">
        <f t="shared" si="1"/>
        <v>46.3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27492</v>
      </c>
      <c r="D38" s="182">
        <f t="shared" si="1"/>
        <v>0.5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519756</v>
      </c>
      <c r="D39" s="182">
        <f t="shared" si="1"/>
        <v>8.6999999999999993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5969826.1500000004</v>
      </c>
      <c r="D41" s="184">
        <f>SUM(D35:D40)</f>
        <v>100.10000000000001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NORTHUMBERLAND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2017-08-11T12:22:22Z</cp:lastPrinted>
  <dcterms:created xsi:type="dcterms:W3CDTF">1997-12-04T19:04:30Z</dcterms:created>
  <dcterms:modified xsi:type="dcterms:W3CDTF">2017-11-29T17:57:24Z</dcterms:modified>
</cp:coreProperties>
</file>