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4000" windowHeight="97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4" i="1" l="1"/>
  <c r="G611" i="1"/>
  <c r="F611" i="1"/>
  <c r="H582" i="1"/>
  <c r="H581" i="1"/>
  <c r="F579" i="1"/>
  <c r="G24" i="1"/>
  <c r="I203" i="1"/>
  <c r="F472" i="1"/>
  <c r="I358" i="1" l="1"/>
  <c r="H358" i="1"/>
  <c r="G4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9" i="10" s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C12" i="10" s="1"/>
  <c r="L236" i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D15" i="13" s="1"/>
  <c r="C15" i="13" s="1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3" i="10"/>
  <c r="C18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C18" i="2" s="1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E112" i="2"/>
  <c r="C113" i="2"/>
  <c r="E113" i="2"/>
  <c r="C114" i="2"/>
  <c r="E114" i="2"/>
  <c r="D115" i="2"/>
  <c r="F115" i="2"/>
  <c r="G115" i="2"/>
  <c r="E118" i="2"/>
  <c r="E119" i="2"/>
  <c r="C120" i="2"/>
  <c r="E120" i="2"/>
  <c r="C121" i="2"/>
  <c r="E121" i="2"/>
  <c r="E122" i="2"/>
  <c r="E123" i="2"/>
  <c r="C124" i="2"/>
  <c r="E124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H617" i="1" s="1"/>
  <c r="J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H641" i="1" s="1"/>
  <c r="I461" i="1"/>
  <c r="H642" i="1" s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H640" i="1"/>
  <c r="G641" i="1"/>
  <c r="J641" i="1" s="1"/>
  <c r="G643" i="1"/>
  <c r="J643" i="1" s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C26" i="10"/>
  <c r="L328" i="1"/>
  <c r="L351" i="1"/>
  <c r="I662" i="1"/>
  <c r="L290" i="1"/>
  <c r="D12" i="13"/>
  <c r="C12" i="13" s="1"/>
  <c r="D62" i="2"/>
  <c r="D63" i="2" s="1"/>
  <c r="D18" i="13"/>
  <c r="C18" i="13" s="1"/>
  <c r="D17" i="13"/>
  <c r="C17" i="13" s="1"/>
  <c r="E8" i="13"/>
  <c r="C8" i="13" s="1"/>
  <c r="C91" i="2"/>
  <c r="F78" i="2"/>
  <c r="F81" i="2" s="1"/>
  <c r="D31" i="2"/>
  <c r="D50" i="2"/>
  <c r="F18" i="2"/>
  <c r="G161" i="2"/>
  <c r="E115" i="2"/>
  <c r="E103" i="2"/>
  <c r="D91" i="2"/>
  <c r="E62" i="2"/>
  <c r="E63" i="2" s="1"/>
  <c r="E31" i="2"/>
  <c r="G62" i="2"/>
  <c r="D29" i="13"/>
  <c r="C29" i="13" s="1"/>
  <c r="D19" i="13"/>
  <c r="C19" i="13" s="1"/>
  <c r="E78" i="2"/>
  <c r="E81" i="2" s="1"/>
  <c r="H112" i="1"/>
  <c r="F112" i="1"/>
  <c r="K605" i="1"/>
  <c r="G648" i="1" s="1"/>
  <c r="L433" i="1"/>
  <c r="L419" i="1"/>
  <c r="D81" i="2"/>
  <c r="I169" i="1"/>
  <c r="H169" i="1"/>
  <c r="J476" i="1"/>
  <c r="H626" i="1" s="1"/>
  <c r="H476" i="1"/>
  <c r="H624" i="1" s="1"/>
  <c r="J624" i="1" s="1"/>
  <c r="G476" i="1"/>
  <c r="H623" i="1" s="1"/>
  <c r="J623" i="1" s="1"/>
  <c r="G338" i="1"/>
  <c r="G352" i="1" s="1"/>
  <c r="F169" i="1"/>
  <c r="J140" i="1"/>
  <c r="F571" i="1"/>
  <c r="H257" i="1"/>
  <c r="H271" i="1" s="1"/>
  <c r="G22" i="2"/>
  <c r="H552" i="1"/>
  <c r="C29" i="10"/>
  <c r="H140" i="1"/>
  <c r="L393" i="1"/>
  <c r="F22" i="13"/>
  <c r="C22" i="13" s="1"/>
  <c r="J640" i="1"/>
  <c r="H571" i="1"/>
  <c r="H338" i="1"/>
  <c r="H352" i="1" s="1"/>
  <c r="F338" i="1"/>
  <c r="F352" i="1" s="1"/>
  <c r="G192" i="1"/>
  <c r="H192" i="1"/>
  <c r="E128" i="2"/>
  <c r="C35" i="10"/>
  <c r="L309" i="1"/>
  <c r="L570" i="1"/>
  <c r="J636" i="1"/>
  <c r="G36" i="2"/>
  <c r="L565" i="1"/>
  <c r="C138" i="2"/>
  <c r="L614" i="1" l="1"/>
  <c r="I257" i="1"/>
  <c r="I271" i="1" s="1"/>
  <c r="A40" i="12"/>
  <c r="A31" i="12"/>
  <c r="A13" i="12"/>
  <c r="J634" i="1"/>
  <c r="H661" i="1"/>
  <c r="G661" i="1"/>
  <c r="D145" i="2"/>
  <c r="L362" i="1"/>
  <c r="G635" i="1" s="1"/>
  <c r="J635" i="1" s="1"/>
  <c r="K598" i="1"/>
  <c r="G647" i="1" s="1"/>
  <c r="J647" i="1" s="1"/>
  <c r="J651" i="1"/>
  <c r="J649" i="1"/>
  <c r="J552" i="1"/>
  <c r="L544" i="1"/>
  <c r="H545" i="1"/>
  <c r="K545" i="1"/>
  <c r="L539" i="1"/>
  <c r="K549" i="1"/>
  <c r="K550" i="1"/>
  <c r="J545" i="1"/>
  <c r="L534" i="1"/>
  <c r="L529" i="1"/>
  <c r="K551" i="1"/>
  <c r="I545" i="1"/>
  <c r="F552" i="1"/>
  <c r="L524" i="1"/>
  <c r="G545" i="1"/>
  <c r="G164" i="2"/>
  <c r="G157" i="2"/>
  <c r="F476" i="1"/>
  <c r="H622" i="1" s="1"/>
  <c r="J622" i="1" s="1"/>
  <c r="J639" i="1"/>
  <c r="H25" i="13"/>
  <c r="E16" i="13"/>
  <c r="C16" i="13" s="1"/>
  <c r="C17" i="10"/>
  <c r="C122" i="2"/>
  <c r="D7" i="13"/>
  <c r="C7" i="13" s="1"/>
  <c r="C16" i="10"/>
  <c r="C112" i="2"/>
  <c r="C111" i="2"/>
  <c r="C10" i="10"/>
  <c r="L247" i="1"/>
  <c r="H660" i="1" s="1"/>
  <c r="G257" i="1"/>
  <c r="G271" i="1" s="1"/>
  <c r="F257" i="1"/>
  <c r="F271" i="1" s="1"/>
  <c r="C11" i="10"/>
  <c r="J257" i="1"/>
  <c r="J271" i="1" s="1"/>
  <c r="D14" i="13"/>
  <c r="C14" i="13" s="1"/>
  <c r="C123" i="2"/>
  <c r="E13" i="13"/>
  <c r="C13" i="13" s="1"/>
  <c r="D6" i="13"/>
  <c r="C6" i="13" s="1"/>
  <c r="C118" i="2"/>
  <c r="C15" i="10"/>
  <c r="C110" i="2"/>
  <c r="D5" i="13"/>
  <c r="C5" i="13" s="1"/>
  <c r="L211" i="1"/>
  <c r="F660" i="1" s="1"/>
  <c r="F664" i="1" s="1"/>
  <c r="K257" i="1"/>
  <c r="K271" i="1" s="1"/>
  <c r="J645" i="1"/>
  <c r="J655" i="1"/>
  <c r="C70" i="2"/>
  <c r="C81" i="2"/>
  <c r="C104" i="2" s="1"/>
  <c r="J625" i="1"/>
  <c r="K500" i="1"/>
  <c r="C62" i="2"/>
  <c r="C63" i="2" s="1"/>
  <c r="G625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J642" i="1"/>
  <c r="G571" i="1"/>
  <c r="I434" i="1"/>
  <c r="G434" i="1"/>
  <c r="I663" i="1"/>
  <c r="I661" i="1" l="1"/>
  <c r="H664" i="1"/>
  <c r="H672" i="1" s="1"/>
  <c r="C6" i="10" s="1"/>
  <c r="G664" i="1"/>
  <c r="C27" i="10"/>
  <c r="C28" i="10" s="1"/>
  <c r="D23" i="10" s="1"/>
  <c r="K552" i="1"/>
  <c r="L545" i="1"/>
  <c r="C25" i="13"/>
  <c r="H33" i="13"/>
  <c r="H648" i="1"/>
  <c r="J648" i="1" s="1"/>
  <c r="C115" i="2"/>
  <c r="C128" i="2"/>
  <c r="E33" i="13"/>
  <c r="D35" i="13" s="1"/>
  <c r="L257" i="1"/>
  <c r="L271" i="1" s="1"/>
  <c r="G632" i="1" s="1"/>
  <c r="J632" i="1" s="1"/>
  <c r="F672" i="1"/>
  <c r="C4" i="10" s="1"/>
  <c r="F667" i="1"/>
  <c r="L408" i="1"/>
  <c r="I660" i="1"/>
  <c r="I664" i="1" s="1"/>
  <c r="I672" i="1" s="1"/>
  <c r="C7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67" i="1" l="1"/>
  <c r="G672" i="1"/>
  <c r="C5" i="10" s="1"/>
  <c r="G667" i="1"/>
  <c r="C145" i="2"/>
  <c r="D24" i="10"/>
  <c r="D20" i="10"/>
  <c r="D15" i="10"/>
  <c r="D17" i="10"/>
  <c r="D21" i="10"/>
  <c r="D13" i="10"/>
  <c r="D12" i="10"/>
  <c r="D27" i="10"/>
  <c r="D11" i="10"/>
  <c r="D19" i="10"/>
  <c r="D18" i="10"/>
  <c r="D25" i="10"/>
  <c r="D22" i="10"/>
  <c r="D10" i="10"/>
  <c r="D26" i="10"/>
  <c r="C30" i="10"/>
  <c r="D16" i="10"/>
  <c r="G637" i="1"/>
  <c r="J637" i="1" s="1"/>
  <c r="H646" i="1"/>
  <c r="J646" i="1" s="1"/>
  <c r="I667" i="1"/>
  <c r="C41" i="10"/>
  <c r="D38" i="10" s="1"/>
  <c r="H65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<sst xmlns="http://schemas.openxmlformats.org/spreadsheetml/2006/main" count="3957" uniqueCount="915">
  <si>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</si>
  <si>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</si>
  <si>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</si>
  <si>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</si>
  <si>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</si>
  <si>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</si>
  <si>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</si>
  <si>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</si>
  <si>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</si>
  <si>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</si>
  <si>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</si>
  <si>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</si>
  <si>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</si>
  <si>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</si>
  <si>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</si>
  <si>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</si>
  <si>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</si>
  <si>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</si>
  <si>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</si>
  <si>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</si>
  <si>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</si>
  <si>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</si>
  <si>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</si>
  <si>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</si>
  <si>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</si>
  <si>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</si>
  <si>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</si>
  <si>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</si>
  <si>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</si>
  <si>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</si>
  <si>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</si>
  <si>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</si>
  <si>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</si>
  <si>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</si>
  <si>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</si>
  <si>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</si>
  <si>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</si>
  <si>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</si>
  <si>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</si>
  <si>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</si>
  <si>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</si>
  <si>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</si>
  <si>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</si>
  <si>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</si>
  <si>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</si>
  <si>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</si>
  <si>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</si>
  <si>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</si>
  <si>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</si>
  <si>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</si>
  <si>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</si>
  <si>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</si>
  <si>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</si>
  <si>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</si>
  <si>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</si>
  <si>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</si>
  <si>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</si>
  <si>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</si>
  <si>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</si>
  <si>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</si>
  <si>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</si>
  <si>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</si>
  <si>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</si>
  <si>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</si>
  <si>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</si>
  <si>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</si>
  <si>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</si>
  <si>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</si>
  <si>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</si>
  <si>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</si>
  <si>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</si>
  <si>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</si>
  <si>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</si>
  <si>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</si>
  <si>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</si>
  <si>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</si>
  <si>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</si>
  <si>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</si>
  <si>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</si>
  <si>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</si>
  <si>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</si>
  <si>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</si>
  <si>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</si>
  <si>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</si>
  <si>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</si>
  <si>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</si>
  <si>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</si>
  <si>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</si>
  <si>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</si>
  <si>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</si>
  <si>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</si>
  <si>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</si>
  <si>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</si>
  <si>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</si>
  <si>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</si>
  <si>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</si>
  <si>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</si>
  <si>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</si>
  <si>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</si>
  <si>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</si>
  <si>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</si>
  <si>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</si>
  <si>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</si>
  <si>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</si>
  <si>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</si>
  <si>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</si>
  <si>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</si>
  <si>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</si>
  <si>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</si>
  <si>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</si>
  <si>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</si>
  <si>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</si>
  <si>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</si>
  <si>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</si>
  <si>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</si>
  <si>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</si>
  <si>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</si>
  <si>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</si>
  <si>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</si>
  <si>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</si>
  <si>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</si>
  <si>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</si>
  <si>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</si>
  <si>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</si>
  <si>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</si>
  <si>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</si>
  <si>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</si>
  <si>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</si>
  <si>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</si>
  <si>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</si>
  <si>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</si>
  <si>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</si>
  <si>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</si>
  <si>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</si>
  <si>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</si>
  <si>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</si>
  <si>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</si>
  <si>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</si>
  <si>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</si>
  <si>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</si>
  <si>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</si>
  <si>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</si>
  <si>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</si>
  <si>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</si>
  <si>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</si>
  <si>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</si>
  <si>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</si>
  <si>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</si>
  <si>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</si>
  <si>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</si>
  <si>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</si>
  <si>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</si>
  <si>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</si>
  <si>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</si>
  <si>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</si>
  <si>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</si>
  <si>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</si>
  <si>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</si>
  <si>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</si>
  <si>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</si>
  <si>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</si>
  <si>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</si>
  <si>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</si>
  <si>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</si>
  <si>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</si>
  <si>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</si>
  <si>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</si>
  <si>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</si>
  <si>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</si>
  <si>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</si>
  <si>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</si>
  <si>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</si>
  <si>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</si>
  <si>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</si>
  <si>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</si>
  <si>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</si>
  <si>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</si>
  <si>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</si>
  <si>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</si>
  <si>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</si>
  <si>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</si>
  <si>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</si>
  <si>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</si>
  <si>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</si>
  <si>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</si>
  <si>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</si>
  <si>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</si>
  <si>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</si>
  <si>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</si>
  <si>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</si>
  <si>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</si>
  <si>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</si>
  <si>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</si>
  <si>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</si>
  <si>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</si>
  <si>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</si>
  <si>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</si>
  <si>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</si>
  <si>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</si>
  <si>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</si>
  <si>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</si>
  <si>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</si>
  <si>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</si>
  <si>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</si>
  <si>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</si>
  <si>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</si>
  <si>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</si>
  <si>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</si>
  <si>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</si>
  <si>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</si>
  <si>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</si>
  <si>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</si>
  <si>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</si>
  <si>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</si>
  <si>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</si>
  <si>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</si>
  <si>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</si>
  <si>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</si>
  <si>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</si>
  <si>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</si>
  <si>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</si>
  <si>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</si>
  <si>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</si>
  <si>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</si>
  <si>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</si>
  <si>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</si>
  <si>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</si>
  <si>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</si>
  <si>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</si>
  <si>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</si>
  <si>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</si>
  <si>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</si>
  <si>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</si>
  <si>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</si>
  <si>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</si>
  <si>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</si>
  <si>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</si>
  <si>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</si>
  <si>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</si>
  <si>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</si>
  <si>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</si>
  <si>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</si>
  <si>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</si>
  <si>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</si>
  <si>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</si>
  <si>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</si>
  <si>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</si>
  <si>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</si>
  <si>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</si>
  <si>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</si>
  <si>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</si>
  <si>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</si>
  <si>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</si>
  <si>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</si>
  <si>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</si>
  <si>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</si>
  <si>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</si>
  <si>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</si>
  <si>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</si>
  <si>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</si>
  <si>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</si>
  <si>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</si>
  <si>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</si>
  <si>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</si>
  <si>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</si>
  <si>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</si>
  <si>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</si>
  <si>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</si>
  <si>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</si>
  <si>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</si>
  <si>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</si>
  <si>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</si>
  <si>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</si>
  <si>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</si>
  <si>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</si>
  <si>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</si>
  <si>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</si>
  <si>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</si>
  <si>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</si>
  <si>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</si>
  <si>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</si>
  <si>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</si>
  <si>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</si>
  <si>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</si>
  <si>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</si>
  <si>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</si>
  <si>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</si>
  <si>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</si>
  <si>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</si>
  <si>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</si>
  <si>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</si>
  <si>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</si>
  <si>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</si>
  <si>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</si>
  <si>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</si>
  <si>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</si>
  <si>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</si>
  <si>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</si>
  <si>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</si>
  <si>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</si>
  <si>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</si>
  <si>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</si>
  <si>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</si>
  <si>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</si>
  <si>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</si>
  <si>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</si>
  <si>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</si>
  <si>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</si>
  <si>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</si>
  <si>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</si>
  <si>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</si>
  <si>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</si>
  <si>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</si>
  <si>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</si>
  <si>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</si>
  <si>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</si>
  <si>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</si>
  <si>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</si>
  <si>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</si>
  <si>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</si>
  <si>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</si>
  <si>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</si>
  <si>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</si>
  <si>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</si>
  <si>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</si>
  <si>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</si>
  <si>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</si>
  <si>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</si>
  <si>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</si>
  <si>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</si>
  <si>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</si>
  <si>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</si>
  <si>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</si>
  <si>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</si>
  <si>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</si>
  <si>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</si>
  <si>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</si>
  <si>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</si>
  <si>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</si>
  <si>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</si>
  <si>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</si>
  <si>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</si>
  <si>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</si>
  <si>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</si>
  <si>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</si>
  <si>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</si>
  <si>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</si>
  <si>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</si>
  <si>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</si>
  <si>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</si>
  <si>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</si>
  <si>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</si>
  <si>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</si>
  <si>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</si>
  <si>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</si>
  <si>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</si>
  <si>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</si>
  <si>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</si>
  <si>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</si>
  <si>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</si>
  <si>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</si>
  <si>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</si>
  <si>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</si>
  <si>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</si>
  <si>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</si>
  <si>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</si>
  <si>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</si>
  <si>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</si>
  <si>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</si>
  <si>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</si>
  <si>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</si>
  <si>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</si>
  <si>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</si>
  <si>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</si>
  <si>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</si>
  <si>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</si>
  <si>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</si>
  <si>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</si>
  <si>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</si>
  <si>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</si>
  <si>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</si>
  <si>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</si>
  <si>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</si>
  <si>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</si>
  <si>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</si>
  <si>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</si>
  <si>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</si>
  <si>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</si>
  <si>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</si>
  <si>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</si>
  <si>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</si>
  <si>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</si>
  <si>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</si>
  <si>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</si>
  <si>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</si>
  <si>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</si>
  <si>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</si>
  <si>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</si>
  <si>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</si>
  <si>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</si>
  <si>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</si>
  <si>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</si>
  <si>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</si>
  <si>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</si>
  <si>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</si>
  <si>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</si>
  <si>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</si>
  <si>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</si>
  <si>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</si>
  <si>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</si>
  <si>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</si>
  <si>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</si>
  <si>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</si>
  <si>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</si>
  <si>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</si>
  <si>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</si>
  <si>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</si>
  <si>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</si>
  <si>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</si>
  <si>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</si>
  <si>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</si>
  <si>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</si>
  <si>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</si>
  <si>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</si>
  <si>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</si>
  <si>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</si>
  <si>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</si>
  <si>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</si>
  <si>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</si>
  <si>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</si>
  <si>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</si>
  <si>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</si>
  <si>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</si>
  <si>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</si>
  <si>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</si>
  <si>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</si>
  <si>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</si>
  <si>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</si>
  <si>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</si>
  <si>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</si>
  <si>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</si>
  <si>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</si>
  <si>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</si>
  <si>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</si>
  <si>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</si>
  <si>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</si>
  <si>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</si>
  <si>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</si>
  <si>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</si>
  <si>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</si>
  <si>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</si>
  <si>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</si>
  <si>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</si>
  <si>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</si>
  <si>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</si>
  <si>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</si>
  <si>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</si>
  <si>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</si>
  <si>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</si>
  <si>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</si>
  <si>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</si>
  <si>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</si>
  <si>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</si>
  <si>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</si>
  <si>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</si>
  <si>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</si>
  <si>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</si>
  <si>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</si>
  <si>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</si>
  <si>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</si>
  <si>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</si>
  <si>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</si>
  <si>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</si>
  <si>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</si>
  <si>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</si>
  <si>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</si>
  <si>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</si>
  <si>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</si>
  <si>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</si>
  <si>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</si>
  <si>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</si>
  <si>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</si>
  <si>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</si>
  <si>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</si>
  <si>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</si>
  <si>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</si>
  <si>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</si>
  <si>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</si>
  <si>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</si>
  <si>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</si>
  <si>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</si>
  <si>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</si>
  <si>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</si>
  <si>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</si>
  <si>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</si>
  <si>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</si>
  <si>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</si>
  <si>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</si>
  <si>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</si>
  <si>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</si>
  <si>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</si>
  <si>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</si>
  <si>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</si>
  <si>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</si>
  <si>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</si>
  <si>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</si>
  <si>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</si>
  <si>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</si>
  <si>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</si>
  <si>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</si>
  <si>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</si>
  <si>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</si>
  <si>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</si>
  <si>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</si>
  <si>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</si>
  <si>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</si>
  <si>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</si>
  <si>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</si>
  <si>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</si>
  <si>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</si>
  <si>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</si>
  <si>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</si>
  <si>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</si>
  <si>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</si>
  <si>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</si>
  <si>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</si>
  <si>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</si>
  <si>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</si>
  <si>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</si>
  <si>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</si>
  <si>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</si>
  <si>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</si>
  <si>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</si>
  <si>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</si>
  <si>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</si>
  <si>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</si>
  <si>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</si>
  <si>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</si>
  <si>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</si>
  <si>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</si>
  <si>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</si>
  <si>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</si>
  <si>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</si>
  <si>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</si>
  <si>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</si>
  <si>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</si>
  <si>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</si>
  <si>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</si>
  <si>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</si>
  <si>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</si>
  <si>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</si>
  <si>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</si>
  <si>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</si>
  <si>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</si>
  <si>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</si>
  <si>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</si>
  <si>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</si>
  <si>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</si>
  <si>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</si>
  <si>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</si>
  <si>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</si>
  <si>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</si>
  <si>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</si>
  <si>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</si>
  <si>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</si>
  <si>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</si>
  <si>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</si>
  <si>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</si>
  <si>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</si>
  <si>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</si>
  <si>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</si>
  <si>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</si>
  <si>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</si>
  <si>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</si>
  <si>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</si>
  <si>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</si>
  <si>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</si>
  <si>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</si>
  <si>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</si>
  <si>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</si>
  <si>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</si>
  <si>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</si>
  <si>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</si>
  <si>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</si>
  <si>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</si>
  <si>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</si>
  <si>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</si>
  <si>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</si>
  <si>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</si>
  <si>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</si>
  <si>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</si>
  <si>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</si>
  <si>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</si>
  <si>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</si>
  <si>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</si>
  <si>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</si>
  <si>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</si>
  <si>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</si>
  <si>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</si>
  <si>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</si>
  <si>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</si>
  <si>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</si>
  <si>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</si>
  <si>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</si>
  <si>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</si>
  <si>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</si>
  <si>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</si>
  <si>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</si>
  <si>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</si>
  <si>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</si>
  <si>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</si>
  <si>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</si>
  <si>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</si>
  <si>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</si>
  <si>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</si>
  <si>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</si>
  <si>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</si>
  <si>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</si>
  <si>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</si>
  <si>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</si>
  <si>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</si>
  <si>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</si>
  <si>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</si>
  <si>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</si>
  <si>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</si>
  <si>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</si>
  <si>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</si>
  <si>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</si>
  <si>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</si>
  <si>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</si>
  <si>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</si>
  <si>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</si>
  <si>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</si>
  <si>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</si>
  <si>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</si>
  <si>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</si>
  <si>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</si>
  <si>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</si>
  <si>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</si>
  <si>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</si>
  <si>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</si>
  <si>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</si>
  <si>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</si>
  <si>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</si>
  <si>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</si>
  <si>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</si>
  <si>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</si>
  <si>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</si>
  <si>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</si>
  <si>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</si>
  <si>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</si>
  <si>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</si>
  <si>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</si>
  <si>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</si>
  <si>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</si>
  <si>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</si>
  <si>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</si>
  <si>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</si>
  <si>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</si>
  <si>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</si>
  <si>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</si>
  <si>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</si>
  <si>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</si>
  <si>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</si>
  <si>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</si>
  <si>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</si>
  <si>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</si>
  <si>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</si>
  <si>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</si>
  <si>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</si>
  <si>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</si>
  <si>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</si>
  <si>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</si>
  <si>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</si>
  <si>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</si>
  <si>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</si>
  <si>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</si>
  <si>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</si>
  <si>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</si>
  <si>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</si>
  <si>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</si>
  <si>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</si>
  <si>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</si>
  <si>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</si>
  <si>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</si>
  <si>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</si>
  <si>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</si>
  <si>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</si>
  <si>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</si>
  <si>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</si>
  <si>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</si>
  <si>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</si>
  <si>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</si>
  <si>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</si>
  <si>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</si>
  <si>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</si>
  <si>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</si>
  <si>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</si>
  <si>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</si>
  <si>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</si>
  <si>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</si>
  <si>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</si>
  <si>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</si>
  <si>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</si>
  <si>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</si>
  <si>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</si>
  <si>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</si>
  <si>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</si>
  <si>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</si>
  <si>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</si>
  <si>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</si>
  <si>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</si>
  <si>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</si>
  <si>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</si>
  <si>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</si>
  <si>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</si>
  <si>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</si>
  <si>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</si>
  <si>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</si>
  <si>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</si>
  <si>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</si>
  <si>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</si>
  <si>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</si>
  <si>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</si>
  <si>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</si>
  <si>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</si>
  <si>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</si>
  <si>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</si>
  <si>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</si>
  <si>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</si>
  <si>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</si>
  <si>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</si>
  <si>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</si>
  <si>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</si>
  <si>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</si>
  <si>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</si>
  <si>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</si>
  <si>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</si>
  <si>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</si>
  <si>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</si>
  <si>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</si>
  <si>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</si>
  <si>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</si>
  <si>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</si>
  <si>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</si>
  <si>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</si>
  <si>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</si>
  <si>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</si>
  <si>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</si>
  <si>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</si>
  <si>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</si>
  <si>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</si>
  <si>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</si>
  <si>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</si>
  <si>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</si>
  <si>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</si>
  <si>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</si>
  <si>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</si>
  <si>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</si>
  <si>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</si>
  <si>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</si>
  <si>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</si>
  <si>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</si>
  <si>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</si>
  <si>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</si>
  <si>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</si>
  <si>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</si>
  <si>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</si>
  <si>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</si>
  <si>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</si>
  <si>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</si>
  <si>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</si>
  <si>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</si>
  <si>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</si>
  <si>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</si>
  <si>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</si>
  <si>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</si>
  <si>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</si>
  <si>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</si>
  <si>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</si>
  <si>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</si>
  <si>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</si>
  <si>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</si>
  <si>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</si>
  <si>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</si>
  <si>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</si>
  <si>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</si>
  <si>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</si>
  <si>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</si>
  <si>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</si>
  <si>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</si>
  <si>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</si>
  <si>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</si>
  <si>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</si>
  <si>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</si>
  <si>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</si>
  <si>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</si>
  <si>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</si>
  <si>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</si>
  <si>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</si>
  <si>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</si>
  <si>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</si>
  <si>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</si>
  <si>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</si>
  <si>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</si>
  <si>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</si>
  <si>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</si>
  <si>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</si>
  <si>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</si>
  <si>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</si>
  <si>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</si>
  <si>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</si>
  <si>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</si>
  <si>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</si>
  <si>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</si>
  <si>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</si>
  <si>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</si>
  <si>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</si>
  <si>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</si>
  <si>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</si>
  <si>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</si>
  <si>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</si>
  <si>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</si>
  <si>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</si>
  <si>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</si>
  <si>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</si>
  <si>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</si>
  <si>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</si>
  <si>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</si>
  <si>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</si>
  <si>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</si>
  <si>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</si>
  <si>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</si>
  <si>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</si>
  <si>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</si>
  <si>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</si>
  <si>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</si>
  <si>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</si>
  <si>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</si>
  <si>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</si>
  <si>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</si>
  <si>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</si>
  <si>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</si>
  <si>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</si>
  <si>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</si>
  <si>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</si>
  <si>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</si>
  <si>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</si>
  <si>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</si>
  <si>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</si>
  <si>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</si>
  <si>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</si>
  <si>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</si>
  <si>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</si>
  <si>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</si>
  <si>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</si>
  <si>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</si>
  <si>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</si>
  <si>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</si>
  <si>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</si>
  <si>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</si>
  <si>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</si>
  <si>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</si>
  <si>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</si>
  <si>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</si>
  <si>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</si>
  <si>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</si>
  <si>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</si>
  <si>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</si>
  <si>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</si>
  <si>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</si>
  <si>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</si>
  <si>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</si>
  <si>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</si>
  <si>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</si>
  <si>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</si>
  <si>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</si>
  <si>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</si>
  <si>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</si>
  <si>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</si>
  <si>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</si>
  <si>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</si>
  <si>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</si>
  <si>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</si>
  <si>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</si>
  <si>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</si>
  <si>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</si>
  <si>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</si>
  <si>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</si>
  <si>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</si>
  <si>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</si>
  <si>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</si>
  <si>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</si>
  <si>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</si>
  <si>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</si>
  <si>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</si>
  <si>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</si>
  <si>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</si>
  <si>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</si>
  <si>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</si>
  <si>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</si>
  <si>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</si>
  <si>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</si>
  <si>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</si>
  <si>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</si>
  <si>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</si>
  <si>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</si>
  <si>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</si>
  <si>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</si>
  <si>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</si>
  <si>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</si>
  <si>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</si>
  <si>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Northwood School District</t>
  </si>
  <si>
    <t>08/01</t>
  </si>
  <si>
    <t>08/16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</si>
</sst>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2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411</v>
      </c>
      <c r="C2" s="21">
        <v>411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793978.69</v>
      </c>
      <c r="G9" s="18"/>
      <c r="H9" s="18"/>
      <c r="I9" s="18"/>
      <c r="J9" s="67">
        <f>SUM(I439)</f>
        <v>365835.76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10860.4</v>
      </c>
      <c r="G13" s="18">
        <v>9927.7000000000007</v>
      </c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13741.62</v>
      </c>
      <c r="G14" s="18">
        <v>42798.8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1257.29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2002.6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820583.30999999994</v>
      </c>
      <c r="G19" s="41">
        <f>SUM(G9:G18)</f>
        <v>53983.79</v>
      </c>
      <c r="H19" s="41">
        <f>SUM(H9:H18)</f>
        <v>0</v>
      </c>
      <c r="I19" s="41">
        <f>SUM(I9:I18)</f>
        <v>0</v>
      </c>
      <c r="J19" s="41">
        <f>SUM(J9:J18)</f>
        <v>365835.76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9927.7000000000007</v>
      </c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368587.55</f>
        <v>368587.55</v>
      </c>
      <c r="G24" s="18">
        <f>53983.79-1257.29</f>
        <v>52726.5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378515.25</v>
      </c>
      <c r="G32" s="41">
        <f>SUM(G22:G31)</f>
        <v>52726.5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1257.29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72000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211363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365835.76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158705.06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442068.06</v>
      </c>
      <c r="G51" s="41">
        <f>SUM(G35:G50)</f>
        <v>1257.29</v>
      </c>
      <c r="H51" s="41">
        <f>SUM(H35:H50)</f>
        <v>0</v>
      </c>
      <c r="I51" s="41">
        <f>SUM(I35:I50)</f>
        <v>0</v>
      </c>
      <c r="J51" s="41">
        <f>SUM(J35:J50)</f>
        <v>365835.76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820583.31</v>
      </c>
      <c r="G52" s="41">
        <f>G51+G32</f>
        <v>53983.79</v>
      </c>
      <c r="H52" s="41">
        <f>H51+H32</f>
        <v>0</v>
      </c>
      <c r="I52" s="41">
        <f>I51+I32</f>
        <v>0</v>
      </c>
      <c r="J52" s="41">
        <f>J51+J32</f>
        <v>365835.76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7319894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7319894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2021.19</v>
      </c>
      <c r="G96" s="18"/>
      <c r="H96" s="18"/>
      <c r="I96" s="18"/>
      <c r="J96" s="18">
        <v>2248.1999999999998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70054.320000000007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24203.99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1905.71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28130.89</v>
      </c>
      <c r="G111" s="41">
        <f>SUM(G96:G110)</f>
        <v>70054.320000000007</v>
      </c>
      <c r="H111" s="41">
        <f>SUM(H96:H110)</f>
        <v>0</v>
      </c>
      <c r="I111" s="41">
        <f>SUM(I96:I110)</f>
        <v>0</v>
      </c>
      <c r="J111" s="41">
        <f>SUM(J96:J110)</f>
        <v>2248.1999999999998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7348024.8899999997</v>
      </c>
      <c r="G112" s="41">
        <f>G60+G111</f>
        <v>70054.320000000007</v>
      </c>
      <c r="H112" s="41">
        <f>H60+H79+H94+H111</f>
        <v>0</v>
      </c>
      <c r="I112" s="41">
        <f>I60+I111</f>
        <v>0</v>
      </c>
      <c r="J112" s="41">
        <f>J60+J111</f>
        <v>2248.1999999999998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2276617.48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1134629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3411246.48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87814.29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133790.91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2242.2399999999998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221605.2</v>
      </c>
      <c r="G136" s="41">
        <f>SUM(G123:G135)</f>
        <v>2242.2399999999998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3632851.68</v>
      </c>
      <c r="G140" s="41">
        <f>G121+SUM(G136:G137)</f>
        <v>2242.2399999999998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50096.75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106403.68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106403.68</v>
      </c>
      <c r="G162" s="41">
        <f>SUM(G150:G161)</f>
        <v>50096.75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106403.68</v>
      </c>
      <c r="G169" s="41">
        <f>G147+G162+SUM(G163:G168)</f>
        <v>50096.75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11227.69</v>
      </c>
      <c r="H179" s="18"/>
      <c r="I179" s="18"/>
      <c r="J179" s="18">
        <v>90000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11227.69</v>
      </c>
      <c r="H183" s="41">
        <f>SUM(H179:H182)</f>
        <v>0</v>
      </c>
      <c r="I183" s="41">
        <f>SUM(I179:I182)</f>
        <v>0</v>
      </c>
      <c r="J183" s="41">
        <f>SUM(J179:J182)</f>
        <v>90000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11227.69</v>
      </c>
      <c r="H192" s="41">
        <f>+H183+SUM(H188:H191)</f>
        <v>0</v>
      </c>
      <c r="I192" s="41">
        <f>I177+I183+SUM(I188:I191)</f>
        <v>0</v>
      </c>
      <c r="J192" s="41">
        <f>J183</f>
        <v>90000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11087280.25</v>
      </c>
      <c r="G193" s="47">
        <f>G112+G140+G169+G192</f>
        <v>133621</v>
      </c>
      <c r="H193" s="47">
        <f>H112+H140+H169+H192</f>
        <v>0</v>
      </c>
      <c r="I193" s="47">
        <f>I112+I140+I169+I192</f>
        <v>0</v>
      </c>
      <c r="J193" s="47">
        <f>J112+J140+J192</f>
        <v>92248.2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1414464.5</v>
      </c>
      <c r="G197" s="18">
        <v>756634.51</v>
      </c>
      <c r="H197" s="18">
        <v>7823.8</v>
      </c>
      <c r="I197" s="18">
        <v>54528.08</v>
      </c>
      <c r="J197" s="18">
        <v>4043.97</v>
      </c>
      <c r="K197" s="18">
        <v>0</v>
      </c>
      <c r="L197" s="19">
        <f>SUM(F197:K197)</f>
        <v>2237494.86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797940.06</v>
      </c>
      <c r="G198" s="18">
        <v>410305.42</v>
      </c>
      <c r="H198" s="18">
        <v>644519.43999999994</v>
      </c>
      <c r="I198" s="18">
        <v>14681.22</v>
      </c>
      <c r="J198" s="18">
        <v>4602.67</v>
      </c>
      <c r="K198" s="18">
        <v>125</v>
      </c>
      <c r="L198" s="19">
        <f>SUM(F198:K198)</f>
        <v>1872173.8099999998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36080</v>
      </c>
      <c r="G200" s="18">
        <v>5496.99</v>
      </c>
      <c r="H200" s="18">
        <v>14110</v>
      </c>
      <c r="I200" s="18">
        <v>4653.59</v>
      </c>
      <c r="J200" s="18">
        <v>0</v>
      </c>
      <c r="K200" s="18">
        <v>200</v>
      </c>
      <c r="L200" s="19">
        <f>SUM(F200:K200)</f>
        <v>60540.58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142354.75</v>
      </c>
      <c r="G202" s="18">
        <v>73830.149999999994</v>
      </c>
      <c r="H202" s="18">
        <v>93278.96</v>
      </c>
      <c r="I202" s="18">
        <v>1170.1600000000001</v>
      </c>
      <c r="J202" s="18">
        <v>354.58</v>
      </c>
      <c r="K202" s="18">
        <v>464.94</v>
      </c>
      <c r="L202" s="19">
        <f t="shared" ref="L202:L208" si="0">SUM(F202:K202)</f>
        <v>311453.53999999998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165136.03</v>
      </c>
      <c r="G203" s="18">
        <v>87325.45</v>
      </c>
      <c r="H203" s="18">
        <v>30329.17</v>
      </c>
      <c r="I203" s="18">
        <f>49621.92+119.9</f>
        <v>49741.82</v>
      </c>
      <c r="J203" s="18">
        <v>40426.300000000003</v>
      </c>
      <c r="K203" s="18">
        <v>354</v>
      </c>
      <c r="L203" s="19">
        <f t="shared" si="0"/>
        <v>373312.76999999996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7641.49</v>
      </c>
      <c r="G204" s="18">
        <v>756.73</v>
      </c>
      <c r="H204" s="18">
        <v>249661.72</v>
      </c>
      <c r="I204" s="18">
        <v>121.63</v>
      </c>
      <c r="J204" s="18">
        <v>0</v>
      </c>
      <c r="K204" s="18">
        <v>16000.87</v>
      </c>
      <c r="L204" s="19">
        <f t="shared" si="0"/>
        <v>274182.44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211914.46</v>
      </c>
      <c r="G205" s="18">
        <v>91069.29</v>
      </c>
      <c r="H205" s="18">
        <v>21806.16</v>
      </c>
      <c r="I205" s="18">
        <v>2492.9</v>
      </c>
      <c r="J205" s="18">
        <v>265.98</v>
      </c>
      <c r="K205" s="18">
        <v>4378.59</v>
      </c>
      <c r="L205" s="19">
        <f t="shared" si="0"/>
        <v>331927.38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142584.25</v>
      </c>
      <c r="G207" s="18">
        <v>61437.09</v>
      </c>
      <c r="H207" s="18">
        <v>94936.42</v>
      </c>
      <c r="I207" s="18">
        <v>135366.38</v>
      </c>
      <c r="J207" s="18">
        <v>4999</v>
      </c>
      <c r="K207" s="18">
        <v>0</v>
      </c>
      <c r="L207" s="19">
        <f t="shared" si="0"/>
        <v>439323.14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5611.81</v>
      </c>
      <c r="G208" s="18">
        <v>419.43</v>
      </c>
      <c r="H208" s="18">
        <v>458241.79</v>
      </c>
      <c r="I208" s="18">
        <v>0</v>
      </c>
      <c r="J208" s="18">
        <v>0</v>
      </c>
      <c r="K208" s="18">
        <v>0</v>
      </c>
      <c r="L208" s="19">
        <f t="shared" si="0"/>
        <v>464273.02999999997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2923727.35</v>
      </c>
      <c r="G211" s="41">
        <f t="shared" si="1"/>
        <v>1487275.0599999998</v>
      </c>
      <c r="H211" s="41">
        <f t="shared" si="1"/>
        <v>1614707.46</v>
      </c>
      <c r="I211" s="41">
        <f t="shared" si="1"/>
        <v>262755.78000000003</v>
      </c>
      <c r="J211" s="41">
        <f t="shared" si="1"/>
        <v>54692.500000000007</v>
      </c>
      <c r="K211" s="41">
        <f t="shared" si="1"/>
        <v>21523.4</v>
      </c>
      <c r="L211" s="41">
        <f t="shared" si="1"/>
        <v>6364681.5499999998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0</v>
      </c>
      <c r="G233" s="18">
        <v>0</v>
      </c>
      <c r="H233" s="18">
        <v>3713751.37</v>
      </c>
      <c r="I233" s="18">
        <v>0</v>
      </c>
      <c r="J233" s="18">
        <v>0</v>
      </c>
      <c r="K233" s="18">
        <v>0</v>
      </c>
      <c r="L233" s="19">
        <f>SUM(F233:K233)</f>
        <v>3713751.37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0</v>
      </c>
      <c r="G234" s="18">
        <v>0</v>
      </c>
      <c r="H234" s="18">
        <v>717984.48</v>
      </c>
      <c r="I234" s="18">
        <v>428.01</v>
      </c>
      <c r="J234" s="18">
        <v>0</v>
      </c>
      <c r="K234" s="18">
        <v>0</v>
      </c>
      <c r="L234" s="19">
        <f>SUM(F234:K234)</f>
        <v>718412.49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5094.32</v>
      </c>
      <c r="G240" s="18">
        <v>504.49</v>
      </c>
      <c r="H240" s="18">
        <v>166441.14000000001</v>
      </c>
      <c r="I240" s="18">
        <v>81.09</v>
      </c>
      <c r="J240" s="18">
        <v>0</v>
      </c>
      <c r="K240" s="18">
        <v>10667.24</v>
      </c>
      <c r="L240" s="19">
        <f t="shared" si="4"/>
        <v>182788.28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v>178698.18</v>
      </c>
      <c r="I244" s="18">
        <v>0</v>
      </c>
      <c r="J244" s="18">
        <v>0</v>
      </c>
      <c r="K244" s="18">
        <v>0</v>
      </c>
      <c r="L244" s="19">
        <f t="shared" si="4"/>
        <v>178698.18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5094.32</v>
      </c>
      <c r="G247" s="41">
        <f t="shared" si="5"/>
        <v>504.49</v>
      </c>
      <c r="H247" s="41">
        <f t="shared" si="5"/>
        <v>4776875.169999999</v>
      </c>
      <c r="I247" s="41">
        <f t="shared" si="5"/>
        <v>509.1</v>
      </c>
      <c r="J247" s="41">
        <f t="shared" si="5"/>
        <v>0</v>
      </c>
      <c r="K247" s="41">
        <f t="shared" si="5"/>
        <v>10667.24</v>
      </c>
      <c r="L247" s="41">
        <f t="shared" si="5"/>
        <v>4793650.32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2928821.67</v>
      </c>
      <c r="G257" s="41">
        <f t="shared" si="8"/>
        <v>1487779.5499999998</v>
      </c>
      <c r="H257" s="41">
        <f t="shared" si="8"/>
        <v>6391582.629999999</v>
      </c>
      <c r="I257" s="41">
        <f t="shared" si="8"/>
        <v>263264.88</v>
      </c>
      <c r="J257" s="41">
        <f t="shared" si="8"/>
        <v>54692.500000000007</v>
      </c>
      <c r="K257" s="41">
        <f t="shared" si="8"/>
        <v>32190.639999999999</v>
      </c>
      <c r="L257" s="41">
        <f t="shared" si="8"/>
        <v>11158331.870000001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290000</v>
      </c>
      <c r="L260" s="19">
        <f>SUM(F260:K260)</f>
        <v>290000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6960</v>
      </c>
      <c r="L261" s="19">
        <f>SUM(F261:K261)</f>
        <v>6960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11227.69</v>
      </c>
      <c r="L263" s="19">
        <f>SUM(F263:K263)</f>
        <v>11227.69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90000</v>
      </c>
      <c r="L266" s="19">
        <f t="shared" si="9"/>
        <v>90000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398187.69</v>
      </c>
      <c r="L270" s="41">
        <f t="shared" si="9"/>
        <v>398187.69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2928821.67</v>
      </c>
      <c r="G271" s="42">
        <f t="shared" si="11"/>
        <v>1487779.5499999998</v>
      </c>
      <c r="H271" s="42">
        <f t="shared" si="11"/>
        <v>6391582.629999999</v>
      </c>
      <c r="I271" s="42">
        <f t="shared" si="11"/>
        <v>263264.88</v>
      </c>
      <c r="J271" s="42">
        <f t="shared" si="11"/>
        <v>54692.500000000007</v>
      </c>
      <c r="K271" s="42">
        <f t="shared" si="11"/>
        <v>430378.33</v>
      </c>
      <c r="L271" s="42">
        <f t="shared" si="11"/>
        <v>11556519.560000001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2163.75</v>
      </c>
      <c r="G358" s="18">
        <v>165.57</v>
      </c>
      <c r="H358" s="18">
        <f>125049+4905.61</f>
        <v>129954.61</v>
      </c>
      <c r="I358" s="18">
        <f>1337.07+3533.08</f>
        <v>4870.1499999999996</v>
      </c>
      <c r="J358" s="18">
        <v>0</v>
      </c>
      <c r="K358" s="18">
        <v>0</v>
      </c>
      <c r="L358" s="13">
        <f>SUM(F358:K358)</f>
        <v>137154.07999999999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2163.75</v>
      </c>
      <c r="G362" s="47">
        <f t="shared" si="22"/>
        <v>165.57</v>
      </c>
      <c r="H362" s="47">
        <f t="shared" si="22"/>
        <v>129954.61</v>
      </c>
      <c r="I362" s="47">
        <f t="shared" si="22"/>
        <v>4870.1499999999996</v>
      </c>
      <c r="J362" s="47">
        <f t="shared" si="22"/>
        <v>0</v>
      </c>
      <c r="K362" s="47">
        <f t="shared" si="22"/>
        <v>0</v>
      </c>
      <c r="L362" s="47">
        <f t="shared" si="22"/>
        <v>137154.07999999999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3533.08</v>
      </c>
      <c r="G367" s="18"/>
      <c r="H367" s="18"/>
      <c r="I367" s="56">
        <f>SUM(F367:H367)</f>
        <v>3533.08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1337.07</v>
      </c>
      <c r="G368" s="63"/>
      <c r="H368" s="63"/>
      <c r="I368" s="56">
        <f>SUM(F368:H368)</f>
        <v>1337.07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4870.1499999999996</v>
      </c>
      <c r="G369" s="47">
        <f>SUM(G367:G368)</f>
        <v>0</v>
      </c>
      <c r="H369" s="47">
        <f>SUM(H367:H368)</f>
        <v>0</v>
      </c>
      <c r="I369" s="47">
        <f>SUM(I367:I368)</f>
        <v>4870.1499999999996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10000</v>
      </c>
      <c r="H396" s="18">
        <v>592.87</v>
      </c>
      <c r="I396" s="18"/>
      <c r="J396" s="24" t="s">
        <v>288</v>
      </c>
      <c r="K396" s="24" t="s">
        <v>288</v>
      </c>
      <c r="L396" s="56">
        <f t="shared" si="26"/>
        <v>10592.87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25000</v>
      </c>
      <c r="H397" s="18">
        <v>451.36</v>
      </c>
      <c r="I397" s="18"/>
      <c r="J397" s="24" t="s">
        <v>288</v>
      </c>
      <c r="K397" s="24" t="s">
        <v>288</v>
      </c>
      <c r="L397" s="56">
        <f t="shared" si="26"/>
        <v>25451.360000000001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20000</v>
      </c>
      <c r="H398" s="18">
        <v>850.84</v>
      </c>
      <c r="I398" s="18"/>
      <c r="J398" s="24" t="s">
        <v>288</v>
      </c>
      <c r="K398" s="24" t="s">
        <v>288</v>
      </c>
      <c r="L398" s="56">
        <f t="shared" si="26"/>
        <v>20850.84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35000</v>
      </c>
      <c r="H400" s="18">
        <v>353.13</v>
      </c>
      <c r="I400" s="18"/>
      <c r="J400" s="24" t="s">
        <v>288</v>
      </c>
      <c r="K400" s="24" t="s">
        <v>288</v>
      </c>
      <c r="L400" s="56">
        <f t="shared" si="26"/>
        <v>35353.129999999997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90000</v>
      </c>
      <c r="H401" s="47">
        <f>SUM(H395:H400)</f>
        <v>2248.2000000000003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92248.200000000012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90000</v>
      </c>
      <c r="H408" s="47">
        <f>H393+H401+H407</f>
        <v>2248.2000000000003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92248.200000000012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365835.76</v>
      </c>
      <c r="G439" s="18"/>
      <c r="H439" s="18"/>
      <c r="I439" s="56">
        <f t="shared" ref="I439:I445" si="33">SUM(F439:H439)</f>
        <v>365835.76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365835.76</v>
      </c>
      <c r="G446" s="13">
        <f>SUM(G439:G445)</f>
        <v>0</v>
      </c>
      <c r="H446" s="13">
        <f>SUM(H439:H445)</f>
        <v>0</v>
      </c>
      <c r="I446" s="13">
        <f>SUM(I439:I445)</f>
        <v>365835.76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365835.76</v>
      </c>
      <c r="G459" s="18"/>
      <c r="H459" s="18"/>
      <c r="I459" s="56">
        <f t="shared" si="34"/>
        <v>365835.76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365835.76</v>
      </c>
      <c r="G460" s="83">
        <f>SUM(G454:G459)</f>
        <v>0</v>
      </c>
      <c r="H460" s="83">
        <f>SUM(H454:H459)</f>
        <v>0</v>
      </c>
      <c r="I460" s="83">
        <f>SUM(I454:I459)</f>
        <v>365835.76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365835.76</v>
      </c>
      <c r="G461" s="42">
        <f>G452+G460</f>
        <v>0</v>
      </c>
      <c r="H461" s="42">
        <f>H452+H460</f>
        <v>0</v>
      </c>
      <c r="I461" s="42">
        <f>I452+I460</f>
        <v>365835.76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911307.37</v>
      </c>
      <c r="G465" s="18">
        <v>4790.37</v>
      </c>
      <c r="H465" s="18">
        <v>0</v>
      </c>
      <c r="I465" s="18">
        <v>0</v>
      </c>
      <c r="J465" s="18">
        <v>273587.56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11087280.25</v>
      </c>
      <c r="G468" s="18">
        <f>122393.31+11227.69</f>
        <v>133621</v>
      </c>
      <c r="H468" s="18"/>
      <c r="I468" s="18"/>
      <c r="J468" s="18">
        <v>92248.2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11087280.25</v>
      </c>
      <c r="G470" s="53">
        <f>SUM(G468:G469)</f>
        <v>133621</v>
      </c>
      <c r="H470" s="53">
        <f>SUM(H468:H469)</f>
        <v>0</v>
      </c>
      <c r="I470" s="53">
        <f>SUM(I468:I469)</f>
        <v>0</v>
      </c>
      <c r="J470" s="53">
        <f>SUM(J468:J469)</f>
        <v>92248.2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11603553.74+119.9+90000-137154.08</f>
        <v>11556519.560000001</v>
      </c>
      <c r="G472" s="18">
        <v>137154.07999999999</v>
      </c>
      <c r="H472" s="18"/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11556519.560000001</v>
      </c>
      <c r="G474" s="53">
        <f>SUM(G472:G473)</f>
        <v>137154.07999999999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442068.05999999866</v>
      </c>
      <c r="G476" s="53">
        <f>(G465+G470)- G474</f>
        <v>1257.2900000000081</v>
      </c>
      <c r="H476" s="53">
        <f>(H465+H470)- H474</f>
        <v>0</v>
      </c>
      <c r="I476" s="53">
        <f>(I465+I470)- I474</f>
        <v>0</v>
      </c>
      <c r="J476" s="53">
        <f>(J465+J470)- J474</f>
        <v>365835.76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15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4370000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4.5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290000</v>
      </c>
      <c r="G495" s="18"/>
      <c r="H495" s="18"/>
      <c r="I495" s="18"/>
      <c r="J495" s="18"/>
      <c r="K495" s="53">
        <f>SUM(F495:J495)</f>
        <v>290000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290000</v>
      </c>
      <c r="G497" s="18"/>
      <c r="H497" s="18"/>
      <c r="I497" s="18"/>
      <c r="J497" s="18"/>
      <c r="K497" s="53">
        <f t="shared" si="35"/>
        <v>290000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797940.06</v>
      </c>
      <c r="G521" s="18">
        <v>410305.42</v>
      </c>
      <c r="H521" s="18">
        <v>644519.43999999994</v>
      </c>
      <c r="I521" s="18">
        <v>14681.22</v>
      </c>
      <c r="J521" s="18">
        <v>4602.67</v>
      </c>
      <c r="K521" s="18">
        <v>125</v>
      </c>
      <c r="L521" s="88">
        <f>SUM(F521:K521)</f>
        <v>1872173.8099999998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0</v>
      </c>
      <c r="G523" s="18">
        <v>0</v>
      </c>
      <c r="H523" s="18">
        <v>717984.48</v>
      </c>
      <c r="I523" s="18">
        <v>428.01</v>
      </c>
      <c r="J523" s="18">
        <v>0</v>
      </c>
      <c r="K523" s="18">
        <v>0</v>
      </c>
      <c r="L523" s="88">
        <f>SUM(F523:K523)</f>
        <v>718412.49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797940.06</v>
      </c>
      <c r="G524" s="108">
        <f t="shared" ref="G524:L524" si="36">SUM(G521:G523)</f>
        <v>410305.42</v>
      </c>
      <c r="H524" s="108">
        <f t="shared" si="36"/>
        <v>1362503.92</v>
      </c>
      <c r="I524" s="108">
        <f t="shared" si="36"/>
        <v>15109.23</v>
      </c>
      <c r="J524" s="108">
        <f t="shared" si="36"/>
        <v>4602.67</v>
      </c>
      <c r="K524" s="108">
        <f t="shared" si="36"/>
        <v>125</v>
      </c>
      <c r="L524" s="89">
        <f t="shared" si="36"/>
        <v>2590586.2999999998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12951.44</v>
      </c>
      <c r="G526" s="18">
        <v>3851.56</v>
      </c>
      <c r="H526" s="18">
        <v>85479.49</v>
      </c>
      <c r="I526" s="18">
        <v>0</v>
      </c>
      <c r="J526" s="18">
        <v>0</v>
      </c>
      <c r="K526" s="18">
        <v>0</v>
      </c>
      <c r="L526" s="88">
        <f>SUM(F526:K526)</f>
        <v>102282.49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0</v>
      </c>
      <c r="G528" s="18">
        <v>0</v>
      </c>
      <c r="H528" s="18">
        <v>26435.759999999998</v>
      </c>
      <c r="I528" s="18">
        <v>0</v>
      </c>
      <c r="J528" s="18">
        <v>0</v>
      </c>
      <c r="K528" s="18">
        <v>0</v>
      </c>
      <c r="L528" s="88">
        <f>SUM(F528:K528)</f>
        <v>26435.759999999998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12951.44</v>
      </c>
      <c r="G529" s="89">
        <f t="shared" ref="G529:L529" si="37">SUM(G526:G528)</f>
        <v>3851.56</v>
      </c>
      <c r="H529" s="89">
        <f t="shared" si="37"/>
        <v>111915.25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128718.25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0</v>
      </c>
      <c r="G531" s="18">
        <v>0</v>
      </c>
      <c r="H531" s="18">
        <v>46617.16</v>
      </c>
      <c r="I531" s="18">
        <v>0</v>
      </c>
      <c r="J531" s="18">
        <v>0</v>
      </c>
      <c r="K531" s="18">
        <v>0</v>
      </c>
      <c r="L531" s="88">
        <f>SUM(F531:K531)</f>
        <v>46617.16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0</v>
      </c>
      <c r="G533" s="18">
        <v>0</v>
      </c>
      <c r="H533" s="18">
        <v>31078.1</v>
      </c>
      <c r="I533" s="18">
        <v>0</v>
      </c>
      <c r="J533" s="18">
        <v>0</v>
      </c>
      <c r="K533" s="18">
        <v>0</v>
      </c>
      <c r="L533" s="88">
        <f>SUM(F533:K533)</f>
        <v>31078.1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77695.260000000009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77695.260000000009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5611.81</v>
      </c>
      <c r="G541" s="18">
        <v>419.43</v>
      </c>
      <c r="H541" s="18">
        <v>148883.5</v>
      </c>
      <c r="I541" s="18">
        <v>0</v>
      </c>
      <c r="J541" s="18">
        <v>0</v>
      </c>
      <c r="K541" s="18">
        <v>0</v>
      </c>
      <c r="L541" s="88">
        <f>SUM(F541:K541)</f>
        <v>154914.74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0</v>
      </c>
      <c r="G543" s="18">
        <v>0</v>
      </c>
      <c r="H543" s="18">
        <v>51654.18</v>
      </c>
      <c r="I543" s="18">
        <v>0</v>
      </c>
      <c r="J543" s="18">
        <v>0</v>
      </c>
      <c r="K543" s="18">
        <v>0</v>
      </c>
      <c r="L543" s="88">
        <f>SUM(F543:K543)</f>
        <v>51654.18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5611.81</v>
      </c>
      <c r="G544" s="193">
        <f t="shared" ref="G544:L544" si="40">SUM(G541:G543)</f>
        <v>419.43</v>
      </c>
      <c r="H544" s="193">
        <f t="shared" si="40"/>
        <v>200537.68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206568.91999999998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816503.31</v>
      </c>
      <c r="G545" s="89">
        <f t="shared" ref="G545:L545" si="41">G524+G529+G534+G539+G544</f>
        <v>414576.41</v>
      </c>
      <c r="H545" s="89">
        <f t="shared" si="41"/>
        <v>1752652.1099999999</v>
      </c>
      <c r="I545" s="89">
        <f t="shared" si="41"/>
        <v>15109.23</v>
      </c>
      <c r="J545" s="89">
        <f t="shared" si="41"/>
        <v>4602.67</v>
      </c>
      <c r="K545" s="89">
        <f t="shared" si="41"/>
        <v>125</v>
      </c>
      <c r="L545" s="89">
        <f t="shared" si="41"/>
        <v>3003568.7299999995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1872173.8099999998</v>
      </c>
      <c r="G549" s="87">
        <f>L526</f>
        <v>102282.49</v>
      </c>
      <c r="H549" s="87">
        <f>L531</f>
        <v>46617.16</v>
      </c>
      <c r="I549" s="87">
        <f>L536</f>
        <v>0</v>
      </c>
      <c r="J549" s="87">
        <f>L541</f>
        <v>154914.74</v>
      </c>
      <c r="K549" s="87">
        <f>SUM(F549:J549)</f>
        <v>2175988.1999999997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718412.49</v>
      </c>
      <c r="G551" s="87">
        <f>L528</f>
        <v>26435.759999999998</v>
      </c>
      <c r="H551" s="87">
        <f>L533</f>
        <v>31078.1</v>
      </c>
      <c r="I551" s="87">
        <f>L538</f>
        <v>0</v>
      </c>
      <c r="J551" s="87">
        <f>L543</f>
        <v>51654.18</v>
      </c>
      <c r="K551" s="87">
        <f>SUM(F551:J551)</f>
        <v>827580.53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2590586.2999999998</v>
      </c>
      <c r="G552" s="89">
        <f t="shared" si="42"/>
        <v>128718.25</v>
      </c>
      <c r="H552" s="89">
        <f t="shared" si="42"/>
        <v>77695.260000000009</v>
      </c>
      <c r="I552" s="89">
        <f t="shared" si="42"/>
        <v>0</v>
      </c>
      <c r="J552" s="89">
        <f t="shared" si="42"/>
        <v>206568.91999999998</v>
      </c>
      <c r="K552" s="89">
        <f t="shared" si="42"/>
        <v>3003568.7299999995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17562.78</v>
      </c>
      <c r="I575" s="87">
        <f>SUM(F575:H575)</f>
        <v>17562.78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3696188.59</v>
      </c>
      <c r="I577" s="87">
        <f t="shared" si="47"/>
        <v>3696188.59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f>170118.9+156312+223910.99</f>
        <v>550341.89</v>
      </c>
      <c r="G579" s="18"/>
      <c r="H579" s="18"/>
      <c r="I579" s="87">
        <f t="shared" si="47"/>
        <v>550341.89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f>241300.78+223338.77+1362.35</f>
        <v>466001.89999999997</v>
      </c>
      <c r="I581" s="87">
        <f t="shared" si="47"/>
        <v>466001.89999999997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>
        <f>1183.87+2143.97+222218.98+26435.76</f>
        <v>251982.58000000002</v>
      </c>
      <c r="I582" s="87">
        <f t="shared" si="47"/>
        <v>251982.58000000002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302788.28999999998</v>
      </c>
      <c r="I591" s="18">
        <v>0</v>
      </c>
      <c r="J591" s="18">
        <v>127044</v>
      </c>
      <c r="K591" s="104">
        <f t="shared" ref="K591:K597" si="48">SUM(H591:J591)</f>
        <v>429832.29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154914.74</v>
      </c>
      <c r="I592" s="18">
        <v>0</v>
      </c>
      <c r="J592" s="18">
        <v>51654.18</v>
      </c>
      <c r="K592" s="104">
        <f t="shared" si="48"/>
        <v>206568.91999999998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5300</v>
      </c>
      <c r="I594" s="18">
        <v>0</v>
      </c>
      <c r="J594" s="18">
        <v>0</v>
      </c>
      <c r="K594" s="104">
        <f t="shared" si="48"/>
        <v>5300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1270</v>
      </c>
      <c r="I595" s="18">
        <v>0</v>
      </c>
      <c r="J595" s="18">
        <v>0</v>
      </c>
      <c r="K595" s="104">
        <f t="shared" si="48"/>
        <v>1270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464273.02999999997</v>
      </c>
      <c r="I598" s="108">
        <f>SUM(I591:I597)</f>
        <v>0</v>
      </c>
      <c r="J598" s="108">
        <f>SUM(J591:J597)</f>
        <v>178698.18</v>
      </c>
      <c r="K598" s="108">
        <f>SUM(K591:K597)</f>
        <v>642971.21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54692.5</v>
      </c>
      <c r="I604" s="18"/>
      <c r="J604" s="18"/>
      <c r="K604" s="104">
        <f>SUM(H604:J604)</f>
        <v>54692.5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54692.5</v>
      </c>
      <c r="I605" s="108">
        <f>SUM(I602:I604)</f>
        <v>0</v>
      </c>
      <c r="J605" s="108">
        <f>SUM(J602:J604)</f>
        <v>0</v>
      </c>
      <c r="K605" s="108">
        <f>SUM(K602:K604)</f>
        <v>54692.5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32915.03+1800</f>
        <v>34715.03</v>
      </c>
      <c r="G611" s="18">
        <f>122.68+140.2+140.2+30.92+35.34+22.09+105.76+120.86+120.86+30.92+35.34+105.76+120.86+120.86+7.26+44.81+53.02+105.76+120.86+120.86+35.34+30.92+122.68+140.2+140.2+30.92+35.34+17.58+105.48+123.06+72.52+96.69+17.58+153.83+167.01</f>
        <v>2994.5699999999997</v>
      </c>
      <c r="H611" s="18">
        <v>397.6</v>
      </c>
      <c r="I611" s="18">
        <v>0</v>
      </c>
      <c r="J611" s="18">
        <v>0</v>
      </c>
      <c r="K611" s="18">
        <v>0</v>
      </c>
      <c r="L611" s="88">
        <f>SUM(F611:K611)</f>
        <v>38107.199999999997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0</v>
      </c>
      <c r="G613" s="18">
        <v>0</v>
      </c>
      <c r="H613" s="18">
        <v>2546.2199999999998</v>
      </c>
      <c r="I613" s="18">
        <v>0</v>
      </c>
      <c r="J613" s="18">
        <v>0</v>
      </c>
      <c r="K613" s="18">
        <v>0</v>
      </c>
      <c r="L613" s="88">
        <f>SUM(F613:K613)</f>
        <v>2546.2199999999998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34715.03</v>
      </c>
      <c r="G614" s="108">
        <f t="shared" si="49"/>
        <v>2994.5699999999997</v>
      </c>
      <c r="H614" s="108">
        <f t="shared" si="49"/>
        <v>2943.8199999999997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40653.42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820583.30999999994</v>
      </c>
      <c r="H617" s="109">
        <f>SUM(F52)</f>
        <v>820583.31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53983.79</v>
      </c>
      <c r="H618" s="109">
        <f>SUM(G52)</f>
        <v>53983.79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365835.76</v>
      </c>
      <c r="H621" s="109">
        <f>SUM(J52)</f>
        <v>365835.76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442068.06</v>
      </c>
      <c r="H622" s="109">
        <f>F476</f>
        <v>442068.05999999866</v>
      </c>
      <c r="I622" s="121" t="s">
        <v>101</v>
      </c>
      <c r="J622" s="109">
        <f t="shared" ref="J622:J655" si="50">G622-H622</f>
        <v>1.3387762010097504E-9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1257.29</v>
      </c>
      <c r="H623" s="109">
        <f>G476</f>
        <v>1257.2900000000081</v>
      </c>
      <c r="I623" s="121" t="s">
        <v>102</v>
      </c>
      <c r="J623" s="109">
        <f t="shared" si="50"/>
        <v>-8.1854523159563541E-12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365835.76</v>
      </c>
      <c r="H626" s="109">
        <f>J476</f>
        <v>365835.76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11087280.25</v>
      </c>
      <c r="H627" s="104">
        <f>SUM(F468)</f>
        <v>11087280.25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133621</v>
      </c>
      <c r="H628" s="104">
        <f>SUM(G468)</f>
        <v>133621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92248.2</v>
      </c>
      <c r="H631" s="104">
        <f>SUM(J468)</f>
        <v>92248.2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11556519.560000001</v>
      </c>
      <c r="H632" s="104">
        <f>SUM(F472)</f>
        <v>11556519.560000001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4870.1499999999996</v>
      </c>
      <c r="H634" s="104">
        <f>I369</f>
        <v>4870.1499999999996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137154.07999999999</v>
      </c>
      <c r="H635" s="104">
        <f>SUM(G472)</f>
        <v>137154.07999999999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92248.200000000012</v>
      </c>
      <c r="H637" s="164">
        <f>SUM(J468)</f>
        <v>92248.2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365835.76</v>
      </c>
      <c r="H639" s="104">
        <f>SUM(F461)</f>
        <v>365835.76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365835.76</v>
      </c>
      <c r="H642" s="104">
        <f>SUM(I461)</f>
        <v>365835.76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2248.1999999999998</v>
      </c>
      <c r="H644" s="104">
        <f>H408</f>
        <v>2248.2000000000003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90000</v>
      </c>
      <c r="H645" s="104">
        <f>G408</f>
        <v>90000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92248.2</v>
      </c>
      <c r="H646" s="104">
        <f>L408</f>
        <v>92248.200000000012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642971.21</v>
      </c>
      <c r="H647" s="104">
        <f>L208+L226+L244</f>
        <v>642971.21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54692.5</v>
      </c>
      <c r="H648" s="104">
        <f>(J257+J338)-(J255+J336)</f>
        <v>54692.500000000007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464273.02999999997</v>
      </c>
      <c r="H649" s="104">
        <f>H598</f>
        <v>464273.02999999997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178698.18</v>
      </c>
      <c r="H651" s="104">
        <f>J598</f>
        <v>178698.18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11227.69</v>
      </c>
      <c r="H652" s="104">
        <f>K263+K345</f>
        <v>11227.69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90000</v>
      </c>
      <c r="H655" s="104">
        <f>K266+K347</f>
        <v>90000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6501835.6299999999</v>
      </c>
      <c r="G660" s="19">
        <f>(L229+L309+L359)</f>
        <v>0</v>
      </c>
      <c r="H660" s="19">
        <f>(L247+L328+L360)</f>
        <v>4793650.32</v>
      </c>
      <c r="I660" s="19">
        <f>SUM(F660:H660)</f>
        <v>11295485.949999999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70054.320000000007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70054.320000000007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464273.02999999997</v>
      </c>
      <c r="G662" s="19">
        <f>(L226+L306)-(J226+J306)</f>
        <v>0</v>
      </c>
      <c r="H662" s="19">
        <f>(L244+L325)-(J244+J325)</f>
        <v>178698.18</v>
      </c>
      <c r="I662" s="19">
        <f>SUM(F662:H662)</f>
        <v>642971.21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643141.59</v>
      </c>
      <c r="G663" s="199">
        <f>SUM(G575:G587)+SUM(I602:I604)+L612</f>
        <v>0</v>
      </c>
      <c r="H663" s="199">
        <f>SUM(H575:H587)+SUM(J602:J604)+L613</f>
        <v>4434282.0699999994</v>
      </c>
      <c r="I663" s="19">
        <f>SUM(F663:H663)</f>
        <v>5077423.6599999992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5324366.6899999995</v>
      </c>
      <c r="G664" s="19">
        <f>G660-SUM(G661:G663)</f>
        <v>0</v>
      </c>
      <c r="H664" s="19">
        <f>H660-SUM(H661:H663)</f>
        <v>180670.07000000123</v>
      </c>
      <c r="I664" s="19">
        <f>I660-SUM(I661:I663)</f>
        <v>5505036.7599999998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367.21</v>
      </c>
      <c r="G665" s="248"/>
      <c r="H665" s="248"/>
      <c r="I665" s="19">
        <f>SUM(F665:H665)</f>
        <v>367.21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14499.51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14991.52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-180670.77</v>
      </c>
      <c r="I669" s="19">
        <f>SUM(F669:H669)</f>
        <v>-180670.77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14499.51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14499.51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Northwood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1414464.5</v>
      </c>
      <c r="C9" s="229">
        <f>'DOE25'!G197+'DOE25'!G215+'DOE25'!G233+'DOE25'!G276+'DOE25'!G295+'DOE25'!G314</f>
        <v>756634.51</v>
      </c>
    </row>
    <row r="10" spans="1:3" x14ac:dyDescent="0.2">
      <c r="A10" t="s">
        <v>778</v>
      </c>
      <c r="B10" s="240">
        <v>1313528.8999999999</v>
      </c>
      <c r="C10" s="240">
        <v>707304.26</v>
      </c>
    </row>
    <row r="11" spans="1:3" x14ac:dyDescent="0.2">
      <c r="A11" t="s">
        <v>779</v>
      </c>
      <c r="B11" s="240">
        <v>66519.460000000006</v>
      </c>
      <c r="C11" s="240">
        <v>46748.02</v>
      </c>
    </row>
    <row r="12" spans="1:3" x14ac:dyDescent="0.2">
      <c r="A12" t="s">
        <v>780</v>
      </c>
      <c r="B12" s="240">
        <v>34416.14</v>
      </c>
      <c r="C12" s="240">
        <v>2582.23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1414464.4999999998</v>
      </c>
      <c r="C13" s="231">
        <f>SUM(C10:C12)</f>
        <v>756634.51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797940.06</v>
      </c>
      <c r="C18" s="229">
        <f>'DOE25'!G198+'DOE25'!G216+'DOE25'!G234+'DOE25'!G277+'DOE25'!G296+'DOE25'!G315</f>
        <v>410305.42</v>
      </c>
    </row>
    <row r="19" spans="1:3" x14ac:dyDescent="0.2">
      <c r="A19" t="s">
        <v>778</v>
      </c>
      <c r="B19" s="240">
        <v>216631.2</v>
      </c>
      <c r="C19" s="240">
        <v>119097.27</v>
      </c>
    </row>
    <row r="20" spans="1:3" x14ac:dyDescent="0.2">
      <c r="A20" t="s">
        <v>779</v>
      </c>
      <c r="B20" s="240">
        <v>408040.28</v>
      </c>
      <c r="C20" s="240">
        <v>271144.69</v>
      </c>
    </row>
    <row r="21" spans="1:3" x14ac:dyDescent="0.2">
      <c r="A21" t="s">
        <v>780</v>
      </c>
      <c r="B21" s="240">
        <v>173268.58</v>
      </c>
      <c r="C21" s="240">
        <v>20063.46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797940.05999999994</v>
      </c>
      <c r="C22" s="231">
        <f>SUM(C19:C21)</f>
        <v>410305.42000000004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>
        <v>0</v>
      </c>
      <c r="C28" s="240">
        <v>0</v>
      </c>
    </row>
    <row r="29" spans="1:3" x14ac:dyDescent="0.2">
      <c r="A29" t="s">
        <v>779</v>
      </c>
      <c r="B29" s="240">
        <v>0</v>
      </c>
      <c r="C29" s="240">
        <v>0</v>
      </c>
    </row>
    <row r="30" spans="1:3" x14ac:dyDescent="0.2">
      <c r="A30" t="s">
        <v>780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36080</v>
      </c>
      <c r="C36" s="235">
        <f>'DOE25'!G200+'DOE25'!G218+'DOE25'!G236+'DOE25'!G279+'DOE25'!G298+'DOE25'!G317</f>
        <v>5496.99</v>
      </c>
    </row>
    <row r="37" spans="1:3" x14ac:dyDescent="0.2">
      <c r="A37" t="s">
        <v>778</v>
      </c>
      <c r="B37" s="240">
        <v>18272.25</v>
      </c>
      <c r="C37" s="240">
        <v>3977.95</v>
      </c>
    </row>
    <row r="38" spans="1:3" x14ac:dyDescent="0.2">
      <c r="A38" t="s">
        <v>779</v>
      </c>
      <c r="B38" s="240">
        <v>3207.75</v>
      </c>
      <c r="C38" s="240">
        <v>245.44</v>
      </c>
    </row>
    <row r="39" spans="1:3" x14ac:dyDescent="0.2">
      <c r="A39" t="s">
        <v>780</v>
      </c>
      <c r="B39" s="240">
        <v>14600</v>
      </c>
      <c r="C39" s="240">
        <v>1273.5999999999999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36080</v>
      </c>
      <c r="C40" s="231">
        <f>SUM(C37:C39)</f>
        <v>5496.99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Northwood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8602373.1099999994</v>
      </c>
      <c r="D5" s="20">
        <f>SUM('DOE25'!L197:L200)+SUM('DOE25'!L215:L218)+SUM('DOE25'!L233:L236)-F5-G5</f>
        <v>8593401.4699999988</v>
      </c>
      <c r="E5" s="243"/>
      <c r="F5" s="255">
        <f>SUM('DOE25'!J197:J200)+SUM('DOE25'!J215:J218)+SUM('DOE25'!J233:J236)</f>
        <v>8646.64</v>
      </c>
      <c r="G5" s="53">
        <f>SUM('DOE25'!K197:K200)+SUM('DOE25'!K215:K218)+SUM('DOE25'!K233:K236)</f>
        <v>325</v>
      </c>
      <c r="H5" s="259"/>
    </row>
    <row r="6" spans="1:9" x14ac:dyDescent="0.2">
      <c r="A6" s="32">
        <v>2100</v>
      </c>
      <c r="B6" t="s">
        <v>800</v>
      </c>
      <c r="C6" s="245">
        <f t="shared" si="0"/>
        <v>311453.53999999998</v>
      </c>
      <c r="D6" s="20">
        <f>'DOE25'!L202+'DOE25'!L220+'DOE25'!L238-F6-G6</f>
        <v>310634.01999999996</v>
      </c>
      <c r="E6" s="243"/>
      <c r="F6" s="255">
        <f>'DOE25'!J202+'DOE25'!J220+'DOE25'!J238</f>
        <v>354.58</v>
      </c>
      <c r="G6" s="53">
        <f>'DOE25'!K202+'DOE25'!K220+'DOE25'!K238</f>
        <v>464.94</v>
      </c>
      <c r="H6" s="259"/>
    </row>
    <row r="7" spans="1:9" x14ac:dyDescent="0.2">
      <c r="A7" s="32">
        <v>2200</v>
      </c>
      <c r="B7" t="s">
        <v>833</v>
      </c>
      <c r="C7" s="245">
        <f t="shared" si="0"/>
        <v>373312.76999999996</v>
      </c>
      <c r="D7" s="20">
        <f>'DOE25'!L203+'DOE25'!L221+'DOE25'!L239-F7-G7</f>
        <v>332532.46999999997</v>
      </c>
      <c r="E7" s="243"/>
      <c r="F7" s="255">
        <f>'DOE25'!J203+'DOE25'!J221+'DOE25'!J239</f>
        <v>40426.300000000003</v>
      </c>
      <c r="G7" s="53">
        <f>'DOE25'!K203+'DOE25'!K221+'DOE25'!K239</f>
        <v>354</v>
      </c>
      <c r="H7" s="259"/>
    </row>
    <row r="8" spans="1:9" x14ac:dyDescent="0.2">
      <c r="A8" s="32">
        <v>2300</v>
      </c>
      <c r="B8" t="s">
        <v>801</v>
      </c>
      <c r="C8" s="245">
        <f t="shared" si="0"/>
        <v>284826.52999999997</v>
      </c>
      <c r="D8" s="243"/>
      <c r="E8" s="20">
        <f>'DOE25'!L204+'DOE25'!L222+'DOE25'!L240-F8-G8-D9-D11</f>
        <v>258158.41999999998</v>
      </c>
      <c r="F8" s="255">
        <f>'DOE25'!J204+'DOE25'!J222+'DOE25'!J240</f>
        <v>0</v>
      </c>
      <c r="G8" s="53">
        <f>'DOE25'!K204+'DOE25'!K222+'DOE25'!K240</f>
        <v>26668.11</v>
      </c>
      <c r="H8" s="259"/>
    </row>
    <row r="9" spans="1:9" x14ac:dyDescent="0.2">
      <c r="A9" s="32">
        <v>2310</v>
      </c>
      <c r="B9" t="s">
        <v>817</v>
      </c>
      <c r="C9" s="245">
        <f t="shared" si="0"/>
        <v>76218.62</v>
      </c>
      <c r="D9" s="244">
        <v>76218.62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9500</v>
      </c>
      <c r="D10" s="243"/>
      <c r="E10" s="244">
        <v>9500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95925.57</v>
      </c>
      <c r="D11" s="244">
        <v>95925.57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331927.38</v>
      </c>
      <c r="D12" s="20">
        <f>'DOE25'!L205+'DOE25'!L223+'DOE25'!L241-F12-G12</f>
        <v>327282.81</v>
      </c>
      <c r="E12" s="243"/>
      <c r="F12" s="255">
        <f>'DOE25'!J205+'DOE25'!J223+'DOE25'!J241</f>
        <v>265.98</v>
      </c>
      <c r="G12" s="53">
        <f>'DOE25'!K205+'DOE25'!K223+'DOE25'!K241</f>
        <v>4378.59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439323.14</v>
      </c>
      <c r="D14" s="20">
        <f>'DOE25'!L207+'DOE25'!L225+'DOE25'!L243-F14-G14</f>
        <v>434324.14</v>
      </c>
      <c r="E14" s="243"/>
      <c r="F14" s="255">
        <f>'DOE25'!J207+'DOE25'!J225+'DOE25'!J243</f>
        <v>4999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642971.21</v>
      </c>
      <c r="D15" s="20">
        <f>'DOE25'!L208+'DOE25'!L226+'DOE25'!L244-F15-G15</f>
        <v>642971.21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296960</v>
      </c>
      <c r="D25" s="243"/>
      <c r="E25" s="243"/>
      <c r="F25" s="258"/>
      <c r="G25" s="256"/>
      <c r="H25" s="257">
        <f>'DOE25'!L260+'DOE25'!L261+'DOE25'!L341+'DOE25'!L342</f>
        <v>296960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133621</v>
      </c>
      <c r="D29" s="20">
        <f>'DOE25'!L358+'DOE25'!L359+'DOE25'!L360-'DOE25'!I367-F29-G29</f>
        <v>133621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10946911.309999999</v>
      </c>
      <c r="E33" s="246">
        <f>SUM(E5:E31)</f>
        <v>267658.42</v>
      </c>
      <c r="F33" s="246">
        <f>SUM(F5:F31)</f>
        <v>54692.500000000007</v>
      </c>
      <c r="G33" s="246">
        <f>SUM(G5:G31)</f>
        <v>32190.639999999999</v>
      </c>
      <c r="H33" s="246">
        <f>SUM(H5:H31)</f>
        <v>296960</v>
      </c>
    </row>
    <row r="35" spans="2:8" ht="12" thickBot="1" x14ac:dyDescent="0.25">
      <c r="B35" s="253" t="s">
        <v>846</v>
      </c>
      <c r="D35" s="254">
        <f>E33</f>
        <v>267658.42</v>
      </c>
      <c r="E35" s="249"/>
    </row>
    <row r="36" spans="2:8" ht="12" thickTop="1" x14ac:dyDescent="0.2">
      <c r="B36" t="s">
        <v>814</v>
      </c>
      <c r="D36" s="20">
        <f>D33</f>
        <v>10946911.309999999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Northwood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793978.69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365835.76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10860.4</v>
      </c>
      <c r="D12" s="95">
        <f>'DOE25'!G13</f>
        <v>9927.7000000000007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13741.62</v>
      </c>
      <c r="D13" s="95">
        <f>'DOE25'!G14</f>
        <v>42798.8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1257.29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2002.6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820583.30999999994</v>
      </c>
      <c r="D18" s="41">
        <f>SUM(D8:D17)</f>
        <v>53983.79</v>
      </c>
      <c r="E18" s="41">
        <f>SUM(E8:E17)</f>
        <v>0</v>
      </c>
      <c r="F18" s="41">
        <f>SUM(F8:F17)</f>
        <v>0</v>
      </c>
      <c r="G18" s="41">
        <f>SUM(G8:G17)</f>
        <v>365835.76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9927.7000000000007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368587.55</v>
      </c>
      <c r="D23" s="95">
        <f>'DOE25'!G24</f>
        <v>52726.5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378515.25</v>
      </c>
      <c r="D31" s="41">
        <f>SUM(D21:D30)</f>
        <v>52726.5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1257.29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72000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211363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365835.76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158705.06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442068.06</v>
      </c>
      <c r="D50" s="41">
        <f>SUM(D34:D49)</f>
        <v>1257.29</v>
      </c>
      <c r="E50" s="41">
        <f>SUM(E34:E49)</f>
        <v>0</v>
      </c>
      <c r="F50" s="41">
        <f>SUM(F34:F49)</f>
        <v>0</v>
      </c>
      <c r="G50" s="41">
        <f>SUM(G34:G49)</f>
        <v>365835.76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820583.31</v>
      </c>
      <c r="D51" s="41">
        <f>D50+D31</f>
        <v>53983.79</v>
      </c>
      <c r="E51" s="41">
        <f>E50+E31</f>
        <v>0</v>
      </c>
      <c r="F51" s="41">
        <f>F50+F31</f>
        <v>0</v>
      </c>
      <c r="G51" s="41">
        <f>G50+G31</f>
        <v>365835.76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7319894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2021.19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2248.1999999999998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70054.320000000007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26109.7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28130.89</v>
      </c>
      <c r="D62" s="130">
        <f>SUM(D57:D61)</f>
        <v>70054.320000000007</v>
      </c>
      <c r="E62" s="130">
        <f>SUM(E57:E61)</f>
        <v>0</v>
      </c>
      <c r="F62" s="130">
        <f>SUM(F57:F61)</f>
        <v>0</v>
      </c>
      <c r="G62" s="130">
        <f>SUM(G57:G61)</f>
        <v>2248.1999999999998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7348024.8899999997</v>
      </c>
      <c r="D63" s="22">
        <f>D56+D62</f>
        <v>70054.320000000007</v>
      </c>
      <c r="E63" s="22">
        <f>E56+E62</f>
        <v>0</v>
      </c>
      <c r="F63" s="22">
        <f>F56+F62</f>
        <v>0</v>
      </c>
      <c r="G63" s="22">
        <f>G56+G62</f>
        <v>2248.1999999999998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2276617.48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1134629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3411246.48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87814.29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133790.91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2242.2399999999998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221605.2</v>
      </c>
      <c r="D78" s="130">
        <f>SUM(D72:D77)</f>
        <v>2242.2399999999998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3632851.68</v>
      </c>
      <c r="D81" s="130">
        <f>SUM(D79:D80)+D78+D70</f>
        <v>2242.2399999999998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106403.68</v>
      </c>
      <c r="D88" s="95">
        <f>SUM('DOE25'!G153:G161)</f>
        <v>50096.75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106403.68</v>
      </c>
      <c r="D91" s="131">
        <f>SUM(D85:D90)</f>
        <v>50096.75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11227.69</v>
      </c>
      <c r="E96" s="95">
        <f>'DOE25'!H179</f>
        <v>0</v>
      </c>
      <c r="F96" s="95">
        <f>'DOE25'!I179</f>
        <v>0</v>
      </c>
      <c r="G96" s="95">
        <f>'DOE25'!J179</f>
        <v>90000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11227.69</v>
      </c>
      <c r="E103" s="86">
        <f>SUM(E93:E102)</f>
        <v>0</v>
      </c>
      <c r="F103" s="86">
        <f>SUM(F93:F102)</f>
        <v>0</v>
      </c>
      <c r="G103" s="86">
        <f>SUM(G93:G102)</f>
        <v>90000</v>
      </c>
    </row>
    <row r="104" spans="1:7" ht="12.75" thickTop="1" thickBot="1" x14ac:dyDescent="0.25">
      <c r="A104" s="33" t="s">
        <v>764</v>
      </c>
      <c r="C104" s="86">
        <f>C63+C81+C91+C103</f>
        <v>11087280.25</v>
      </c>
      <c r="D104" s="86">
        <f>D63+D81+D91+D103</f>
        <v>133621</v>
      </c>
      <c r="E104" s="86">
        <f>E63+E81+E91+E103</f>
        <v>0</v>
      </c>
      <c r="F104" s="86">
        <f>F63+F81+F91+F103</f>
        <v>0</v>
      </c>
      <c r="G104" s="86">
        <f>G63+G81+G103</f>
        <v>92248.2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5951246.2300000004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2590586.2999999998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60540.58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8602373.1100000013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311453.53999999998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373312.76999999996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456970.72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331927.38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439323.14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642971.21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137154.07999999999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2555958.7599999998</v>
      </c>
      <c r="D128" s="86">
        <f>SUM(D118:D127)</f>
        <v>137154.07999999999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290000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6960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11227.69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92248.200000000012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-2248.2000000000116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398187.69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11556519.560000001</v>
      </c>
      <c r="D145" s="86">
        <f>(D115+D128+D144)</f>
        <v>137154.07999999999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08/01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4370000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290000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290000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290000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Northwood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14500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14500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5951246</v>
      </c>
      <c r="D10" s="182">
        <f>ROUND((C10/$C$28)*100,1)</f>
        <v>53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2590586</v>
      </c>
      <c r="D11" s="182">
        <f>ROUND((C11/$C$28)*100,1)</f>
        <v>23.1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60541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311454</v>
      </c>
      <c r="D15" s="182">
        <f t="shared" ref="D15:D27" si="0">ROUND((C15/$C$28)*100,1)</f>
        <v>2.8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373313</v>
      </c>
      <c r="D16" s="182">
        <f t="shared" si="0"/>
        <v>3.3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456971</v>
      </c>
      <c r="D17" s="182">
        <f t="shared" si="0"/>
        <v>4.0999999999999996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331927</v>
      </c>
      <c r="D18" s="182">
        <f t="shared" si="0"/>
        <v>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439323</v>
      </c>
      <c r="D20" s="182">
        <f t="shared" si="0"/>
        <v>3.9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642971</v>
      </c>
      <c r="D21" s="182">
        <f t="shared" si="0"/>
        <v>5.7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6960</v>
      </c>
      <c r="D25" s="182">
        <f t="shared" si="0"/>
        <v>0.1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67099.679999999993</v>
      </c>
      <c r="D27" s="182">
        <f t="shared" si="0"/>
        <v>0.6</v>
      </c>
    </row>
    <row r="28" spans="1:4" x14ac:dyDescent="0.2">
      <c r="B28" s="187" t="s">
        <v>722</v>
      </c>
      <c r="C28" s="180">
        <f>SUM(C10:C27)</f>
        <v>11232391.68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11232391.68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290000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7319894</v>
      </c>
      <c r="D35" s="182">
        <f t="shared" ref="D35:D40" si="1">ROUND((C35/$C$41)*100,1)</f>
        <v>65.7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30379.089999999851</v>
      </c>
      <c r="D36" s="182">
        <f t="shared" si="1"/>
        <v>0.3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3411246</v>
      </c>
      <c r="D37" s="182">
        <f t="shared" si="1"/>
        <v>30.6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223847</v>
      </c>
      <c r="D38" s="182">
        <f t="shared" si="1"/>
        <v>2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156500</v>
      </c>
      <c r="D39" s="182">
        <f t="shared" si="1"/>
        <v>1.4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11141866.09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Northwood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2017-08-17T17:32:48Z</cp:lastPrinted>
  <dcterms:created xsi:type="dcterms:W3CDTF">1997-12-04T19:04:30Z</dcterms:created>
  <dcterms:modified xsi:type="dcterms:W3CDTF">2017-12-05T13:59:53Z</dcterms:modified>
</cp:coreProperties>
</file>