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24000" windowHeight="97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79" i="1" l="1"/>
  <c r="F579" i="1"/>
  <c r="F367" i="1"/>
  <c r="I358" i="1"/>
  <c r="F24" i="1"/>
  <c r="F14" i="1"/>
  <c r="D9" i="13" l="1"/>
  <c r="H198" i="1"/>
  <c r="F611" i="1"/>
  <c r="K268" i="1"/>
  <c r="H581" i="1"/>
  <c r="H528" i="1"/>
  <c r="I526" i="1"/>
  <c r="G526" i="1"/>
  <c r="H526" i="1"/>
  <c r="C12" i="12"/>
  <c r="C10" i="12"/>
  <c r="G24" i="1"/>
  <c r="F23" i="1"/>
  <c r="F28" i="1"/>
  <c r="G14" i="1"/>
  <c r="F472" i="1" l="1"/>
  <c r="G472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20" i="2" s="1"/>
  <c r="D39" i="13"/>
  <c r="F13" i="13"/>
  <c r="G13" i="13"/>
  <c r="E13" i="13" s="1"/>
  <c r="C13" i="13" s="1"/>
  <c r="L206" i="1"/>
  <c r="L224" i="1"/>
  <c r="L242" i="1"/>
  <c r="F16" i="13"/>
  <c r="G16" i="13"/>
  <c r="L209" i="1"/>
  <c r="L227" i="1"/>
  <c r="L245" i="1"/>
  <c r="C125" i="2" s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C119" i="2" s="1"/>
  <c r="F12" i="13"/>
  <c r="G12" i="13"/>
  <c r="L205" i="1"/>
  <c r="L223" i="1"/>
  <c r="L241" i="1"/>
  <c r="C121" i="2" s="1"/>
  <c r="F14" i="13"/>
  <c r="G14" i="13"/>
  <c r="L207" i="1"/>
  <c r="L225" i="1"/>
  <c r="L243" i="1"/>
  <c r="F15" i="13"/>
  <c r="G15" i="13"/>
  <c r="D15" i="13" s="1"/>
  <c r="C15" i="13" s="1"/>
  <c r="L208" i="1"/>
  <c r="L226" i="1"/>
  <c r="L244" i="1"/>
  <c r="H662" i="1" s="1"/>
  <c r="I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A13" i="12" s="1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F94" i="1"/>
  <c r="F111" i="1"/>
  <c r="F112" i="1" s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3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F662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F552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E118" i="2"/>
  <c r="E119" i="2"/>
  <c r="E120" i="2"/>
  <c r="E121" i="2"/>
  <c r="E122" i="2"/>
  <c r="E123" i="2"/>
  <c r="E124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G156" i="2" s="1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G164" i="2" s="1"/>
  <c r="J503" i="1"/>
  <c r="F164" i="2" s="1"/>
  <c r="F19" i="1"/>
  <c r="G617" i="1" s="1"/>
  <c r="G19" i="1"/>
  <c r="G618" i="1" s="1"/>
  <c r="H19" i="1"/>
  <c r="I19" i="1"/>
  <c r="G620" i="1" s="1"/>
  <c r="F32" i="1"/>
  <c r="F52" i="1" s="1"/>
  <c r="H617" i="1" s="1"/>
  <c r="G32" i="1"/>
  <c r="G52" i="1" s="1"/>
  <c r="H618" i="1" s="1"/>
  <c r="H32" i="1"/>
  <c r="I32" i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L256" i="1" s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G460" i="1"/>
  <c r="H460" i="1"/>
  <c r="I460" i="1"/>
  <c r="F461" i="1"/>
  <c r="G461" i="1"/>
  <c r="H461" i="1"/>
  <c r="H641" i="1" s="1"/>
  <c r="I461" i="1"/>
  <c r="H642" i="1" s="1"/>
  <c r="F470" i="1"/>
  <c r="G470" i="1"/>
  <c r="H470" i="1"/>
  <c r="I470" i="1"/>
  <c r="I476" i="1" s="1"/>
  <c r="H625" i="1" s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G565" i="1"/>
  <c r="H565" i="1"/>
  <c r="I565" i="1"/>
  <c r="J565" i="1"/>
  <c r="J571" i="1" s="1"/>
  <c r="K565" i="1"/>
  <c r="L567" i="1"/>
  <c r="L568" i="1"/>
  <c r="L569" i="1"/>
  <c r="F570" i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5" i="1" s="1"/>
  <c r="G648" i="1" s="1"/>
  <c r="K603" i="1"/>
  <c r="K604" i="1"/>
  <c r="H605" i="1"/>
  <c r="I605" i="1"/>
  <c r="J605" i="1"/>
  <c r="F614" i="1"/>
  <c r="G614" i="1"/>
  <c r="H614" i="1"/>
  <c r="I614" i="1"/>
  <c r="J614" i="1"/>
  <c r="K614" i="1"/>
  <c r="G619" i="1"/>
  <c r="G622" i="1"/>
  <c r="G623" i="1"/>
  <c r="G624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H639" i="1"/>
  <c r="G640" i="1"/>
  <c r="H640" i="1"/>
  <c r="G641" i="1"/>
  <c r="J641" i="1" s="1"/>
  <c r="G643" i="1"/>
  <c r="J643" i="1" s="1"/>
  <c r="H643" i="1"/>
  <c r="G644" i="1"/>
  <c r="G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C26" i="10"/>
  <c r="L328" i="1"/>
  <c r="L351" i="1"/>
  <c r="L290" i="1"/>
  <c r="C70" i="2"/>
  <c r="A40" i="12"/>
  <c r="D62" i="2"/>
  <c r="D63" i="2" s="1"/>
  <c r="D18" i="13"/>
  <c r="C18" i="13" s="1"/>
  <c r="D17" i="13"/>
  <c r="C17" i="13" s="1"/>
  <c r="E8" i="13"/>
  <c r="C8" i="13" s="1"/>
  <c r="F78" i="2"/>
  <c r="F81" i="2" s="1"/>
  <c r="D31" i="2"/>
  <c r="C78" i="2"/>
  <c r="D50" i="2"/>
  <c r="F18" i="2"/>
  <c r="G161" i="2"/>
  <c r="E115" i="2"/>
  <c r="E103" i="2"/>
  <c r="D91" i="2"/>
  <c r="E62" i="2"/>
  <c r="E63" i="2" s="1"/>
  <c r="E31" i="2"/>
  <c r="G62" i="2"/>
  <c r="D19" i="13"/>
  <c r="C19" i="13" s="1"/>
  <c r="E78" i="2"/>
  <c r="E81" i="2" s="1"/>
  <c r="H112" i="1"/>
  <c r="L433" i="1"/>
  <c r="L419" i="1"/>
  <c r="I169" i="1"/>
  <c r="H169" i="1"/>
  <c r="H476" i="1"/>
  <c r="H624" i="1" s="1"/>
  <c r="J624" i="1" s="1"/>
  <c r="F476" i="1"/>
  <c r="H622" i="1" s="1"/>
  <c r="G476" i="1"/>
  <c r="H623" i="1" s="1"/>
  <c r="J623" i="1" s="1"/>
  <c r="G338" i="1"/>
  <c r="G352" i="1" s="1"/>
  <c r="F169" i="1"/>
  <c r="J140" i="1"/>
  <c r="F571" i="1"/>
  <c r="I552" i="1"/>
  <c r="G22" i="2"/>
  <c r="C29" i="10"/>
  <c r="H140" i="1"/>
  <c r="L401" i="1"/>
  <c r="C139" i="2" s="1"/>
  <c r="L393" i="1"/>
  <c r="F22" i="13"/>
  <c r="C22" i="13" s="1"/>
  <c r="H25" i="13"/>
  <c r="C25" i="13" s="1"/>
  <c r="J640" i="1"/>
  <c r="H571" i="1"/>
  <c r="H338" i="1"/>
  <c r="H352" i="1" s="1"/>
  <c r="F338" i="1"/>
  <c r="F352" i="1" s="1"/>
  <c r="G192" i="1"/>
  <c r="H192" i="1"/>
  <c r="E128" i="2"/>
  <c r="C35" i="10"/>
  <c r="L309" i="1"/>
  <c r="L570" i="1"/>
  <c r="J636" i="1"/>
  <c r="G36" i="2"/>
  <c r="L565" i="1"/>
  <c r="C138" i="2"/>
  <c r="H33" i="13"/>
  <c r="J639" i="1" l="1"/>
  <c r="J644" i="1"/>
  <c r="L614" i="1"/>
  <c r="H552" i="1"/>
  <c r="K545" i="1"/>
  <c r="L534" i="1"/>
  <c r="H545" i="1"/>
  <c r="G552" i="1"/>
  <c r="L529" i="1"/>
  <c r="K550" i="1"/>
  <c r="L524" i="1"/>
  <c r="G545" i="1"/>
  <c r="J545" i="1"/>
  <c r="K549" i="1"/>
  <c r="J552" i="1"/>
  <c r="I545" i="1"/>
  <c r="K551" i="1"/>
  <c r="L544" i="1"/>
  <c r="C18" i="2"/>
  <c r="J617" i="1"/>
  <c r="D18" i="2"/>
  <c r="J622" i="1"/>
  <c r="D29" i="13"/>
  <c r="C29" i="13" s="1"/>
  <c r="D127" i="2"/>
  <c r="D128" i="2" s="1"/>
  <c r="D145" i="2" s="1"/>
  <c r="L427" i="1"/>
  <c r="J645" i="1"/>
  <c r="J655" i="1"/>
  <c r="J651" i="1"/>
  <c r="K598" i="1"/>
  <c r="G647" i="1" s="1"/>
  <c r="J647" i="1" s="1"/>
  <c r="J634" i="1"/>
  <c r="G661" i="1"/>
  <c r="H661" i="1"/>
  <c r="L362" i="1"/>
  <c r="C27" i="10" s="1"/>
  <c r="E16" i="13"/>
  <c r="C16" i="13" s="1"/>
  <c r="C124" i="2"/>
  <c r="C123" i="2"/>
  <c r="C122" i="2"/>
  <c r="C18" i="10"/>
  <c r="C17" i="10"/>
  <c r="D7" i="13"/>
  <c r="C7" i="13" s="1"/>
  <c r="L247" i="1"/>
  <c r="H660" i="1" s="1"/>
  <c r="C16" i="10"/>
  <c r="C118" i="2"/>
  <c r="C15" i="10"/>
  <c r="A31" i="12"/>
  <c r="C110" i="2"/>
  <c r="C115" i="2" s="1"/>
  <c r="J257" i="1"/>
  <c r="J271" i="1" s="1"/>
  <c r="I257" i="1"/>
  <c r="I271" i="1" s="1"/>
  <c r="H257" i="1"/>
  <c r="H271" i="1" s="1"/>
  <c r="G257" i="1"/>
  <c r="G271" i="1" s="1"/>
  <c r="F257" i="1"/>
  <c r="F271" i="1" s="1"/>
  <c r="D14" i="13"/>
  <c r="C14" i="13" s="1"/>
  <c r="C19" i="10"/>
  <c r="D12" i="13"/>
  <c r="C12" i="13" s="1"/>
  <c r="K257" i="1"/>
  <c r="K271" i="1" s="1"/>
  <c r="D6" i="13"/>
  <c r="C6" i="13" s="1"/>
  <c r="D5" i="13"/>
  <c r="C5" i="13" s="1"/>
  <c r="L211" i="1"/>
  <c r="F660" i="1" s="1"/>
  <c r="F664" i="1" s="1"/>
  <c r="F667" i="1" s="1"/>
  <c r="C10" i="10"/>
  <c r="C81" i="2"/>
  <c r="J625" i="1"/>
  <c r="K500" i="1"/>
  <c r="C62" i="2"/>
  <c r="C63" i="2" s="1"/>
  <c r="G625" i="1"/>
  <c r="L337" i="1"/>
  <c r="F62" i="2"/>
  <c r="F63" i="2" s="1"/>
  <c r="C23" i="10"/>
  <c r="G163" i="2"/>
  <c r="G162" i="2"/>
  <c r="G160" i="2"/>
  <c r="G159" i="2"/>
  <c r="G158" i="2"/>
  <c r="G103" i="2"/>
  <c r="F103" i="2"/>
  <c r="F104" i="2" s="1"/>
  <c r="C103" i="2"/>
  <c r="F91" i="2"/>
  <c r="E50" i="2"/>
  <c r="E51" i="2" s="1"/>
  <c r="C50" i="2"/>
  <c r="F31" i="2"/>
  <c r="C31" i="2"/>
  <c r="E18" i="2"/>
  <c r="E144" i="2"/>
  <c r="E145" i="2" s="1"/>
  <c r="F50" i="2"/>
  <c r="F51" i="2" s="1"/>
  <c r="L338" i="1"/>
  <c r="L352" i="1" s="1"/>
  <c r="G633" i="1" s="1"/>
  <c r="J633" i="1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G50" i="2" s="1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J652" i="1"/>
  <c r="J642" i="1"/>
  <c r="G571" i="1"/>
  <c r="I434" i="1"/>
  <c r="G434" i="1"/>
  <c r="I663" i="1"/>
  <c r="G51" i="2" l="1"/>
  <c r="L545" i="1"/>
  <c r="K552" i="1"/>
  <c r="C104" i="2"/>
  <c r="G635" i="1"/>
  <c r="J635" i="1" s="1"/>
  <c r="I661" i="1"/>
  <c r="G104" i="2"/>
  <c r="G664" i="1"/>
  <c r="G672" i="1" s="1"/>
  <c r="C5" i="10" s="1"/>
  <c r="H664" i="1"/>
  <c r="H667" i="1" s="1"/>
  <c r="E33" i="13"/>
  <c r="D35" i="13" s="1"/>
  <c r="C128" i="2"/>
  <c r="C145" i="2" s="1"/>
  <c r="H648" i="1"/>
  <c r="J648" i="1" s="1"/>
  <c r="L257" i="1"/>
  <c r="L271" i="1" s="1"/>
  <c r="G632" i="1" s="1"/>
  <c r="J632" i="1" s="1"/>
  <c r="C28" i="10"/>
  <c r="D19" i="10" s="1"/>
  <c r="F672" i="1"/>
  <c r="C4" i="10" s="1"/>
  <c r="L408" i="1"/>
  <c r="I660" i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I664" i="1" l="1"/>
  <c r="I672" i="1" s="1"/>
  <c r="C7" i="10" s="1"/>
  <c r="H672" i="1"/>
  <c r="C6" i="10" s="1"/>
  <c r="G667" i="1"/>
  <c r="D23" i="10"/>
  <c r="D24" i="10"/>
  <c r="D11" i="10"/>
  <c r="D26" i="10"/>
  <c r="D27" i="10"/>
  <c r="D21" i="10"/>
  <c r="D10" i="10"/>
  <c r="D12" i="10"/>
  <c r="D13" i="10"/>
  <c r="D17" i="10"/>
  <c r="D16" i="10"/>
  <c r="D18" i="10"/>
  <c r="C30" i="10"/>
  <c r="D22" i="10"/>
  <c r="D20" i="10"/>
  <c r="D15" i="10"/>
  <c r="D25" i="10"/>
  <c r="G637" i="1"/>
  <c r="J637" i="1" s="1"/>
  <c r="H646" i="1"/>
  <c r="J646" i="1" s="1"/>
  <c r="C41" i="10"/>
  <c r="D38" i="10" s="1"/>
  <c r="H656" i="1" l="1"/>
  <c r="I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<sst xmlns="http://schemas.openxmlformats.org/spreadsheetml/2006/main" count="3955" uniqueCount="913">
  <si>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</si>
  <si>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</si>
  <si>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</si>
  <si>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</si>
  <si>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</si>
  <si>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</si>
  <si>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</si>
  <si>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</si>
  <si>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</si>
  <si>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</si>
  <si>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</si>
  <si>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</si>
  <si>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</si>
  <si>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</si>
  <si>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</si>
  <si>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</si>
  <si>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</si>
  <si>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</si>
  <si>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</si>
  <si>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</si>
  <si>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</si>
  <si>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</si>
  <si>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</si>
  <si>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</si>
  <si>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</si>
  <si>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</si>
  <si>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</si>
  <si>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</si>
  <si>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</si>
  <si>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</si>
  <si>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</si>
  <si>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</si>
  <si>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</si>
  <si>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</si>
  <si>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</si>
  <si>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</si>
  <si>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</si>
  <si>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</si>
  <si>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</si>
  <si>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</si>
  <si>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</si>
  <si>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</si>
  <si>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</si>
  <si>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</si>
  <si>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</si>
  <si>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</si>
  <si>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</si>
  <si>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</si>
  <si>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</si>
  <si>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</si>
  <si>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</si>
  <si>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</si>
  <si>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</si>
  <si>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</si>
  <si>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</si>
  <si>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</si>
  <si>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</si>
  <si>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</si>
  <si>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</si>
  <si>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</si>
  <si>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</si>
  <si>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</si>
  <si>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</si>
  <si>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</si>
  <si>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</si>
  <si>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</si>
  <si>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</si>
  <si>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</si>
  <si>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</si>
  <si>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</si>
  <si>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</si>
  <si>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</si>
  <si>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</si>
  <si>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</si>
  <si>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</si>
  <si>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</si>
  <si>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</si>
  <si>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</si>
  <si>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</si>
  <si>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</si>
  <si>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</si>
  <si>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</si>
  <si>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</si>
  <si>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</si>
  <si>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</si>
  <si>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</si>
  <si>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</si>
  <si>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</si>
  <si>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</si>
  <si>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</si>
  <si>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</si>
  <si>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</si>
  <si>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</si>
  <si>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</si>
  <si>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</si>
  <si>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</si>
  <si>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</si>
  <si>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</si>
  <si>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</si>
  <si>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</si>
  <si>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</si>
  <si>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</si>
  <si>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</si>
  <si>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</si>
  <si>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</si>
  <si>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</si>
  <si>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</si>
  <si>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</si>
  <si>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</si>
  <si>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</si>
  <si>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</si>
  <si>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</si>
  <si>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</si>
  <si>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</si>
  <si>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</si>
  <si>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</si>
  <si>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</si>
  <si>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</si>
  <si>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</si>
  <si>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</si>
  <si>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</si>
  <si>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</si>
  <si>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</si>
  <si>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</si>
  <si>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</si>
  <si>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</si>
  <si>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</si>
  <si>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</si>
  <si>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</si>
  <si>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</si>
  <si>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</si>
  <si>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</si>
  <si>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</si>
  <si>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</si>
  <si>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</si>
  <si>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</si>
  <si>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</si>
  <si>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</si>
  <si>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</si>
  <si>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</si>
  <si>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</si>
  <si>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</si>
  <si>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</si>
  <si>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</si>
  <si>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</si>
  <si>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</si>
  <si>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</si>
  <si>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</si>
  <si>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</si>
  <si>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</si>
  <si>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</si>
  <si>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</si>
  <si>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</si>
  <si>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</si>
  <si>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</si>
  <si>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</si>
  <si>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</si>
  <si>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</si>
  <si>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</si>
  <si>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</si>
  <si>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</si>
  <si>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</si>
  <si>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</si>
  <si>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</si>
  <si>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</si>
  <si>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</si>
  <si>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</si>
  <si>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</si>
  <si>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</si>
  <si>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</si>
  <si>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</si>
  <si>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</si>
  <si>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</si>
  <si>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</si>
  <si>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</si>
  <si>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</si>
  <si>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</si>
  <si>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</si>
  <si>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</si>
  <si>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</si>
  <si>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</si>
  <si>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</si>
  <si>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</si>
  <si>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</si>
  <si>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</si>
  <si>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</si>
  <si>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</si>
  <si>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</si>
  <si>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</si>
  <si>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</si>
  <si>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</si>
  <si>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</si>
  <si>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</si>
  <si>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</si>
  <si>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</si>
  <si>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</si>
  <si>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</si>
  <si>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</si>
  <si>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</si>
  <si>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</si>
  <si>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</si>
  <si>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</si>
  <si>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</si>
  <si>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</si>
  <si>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</si>
  <si>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</si>
  <si>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</si>
  <si>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</si>
  <si>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</si>
  <si>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</si>
  <si>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</si>
  <si>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</si>
  <si>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</si>
  <si>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</si>
  <si>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</si>
  <si>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</si>
  <si>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</si>
  <si>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</si>
  <si>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</si>
  <si>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</si>
  <si>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</si>
  <si>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</si>
  <si>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</si>
  <si>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</si>
  <si>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</si>
  <si>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</si>
  <si>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</si>
  <si>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</si>
  <si>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</si>
  <si>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</si>
  <si>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</si>
  <si>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</si>
  <si>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</si>
  <si>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</si>
  <si>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</si>
  <si>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</si>
  <si>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</si>
  <si>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</si>
  <si>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</si>
  <si>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</si>
  <si>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</si>
  <si>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</si>
  <si>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</si>
  <si>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</si>
  <si>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</si>
  <si>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</si>
  <si>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</si>
  <si>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</si>
  <si>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</si>
  <si>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</si>
  <si>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</si>
  <si>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</si>
  <si>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</si>
  <si>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</si>
  <si>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</si>
  <si>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</si>
  <si>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</si>
  <si>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</si>
  <si>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</si>
  <si>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</si>
  <si>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</si>
  <si>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</si>
  <si>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</si>
  <si>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</si>
  <si>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</si>
  <si>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</si>
  <si>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</si>
  <si>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</si>
  <si>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</si>
  <si>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</si>
  <si>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</si>
  <si>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</si>
  <si>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</si>
  <si>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</si>
  <si>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</si>
  <si>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</si>
  <si>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</si>
  <si>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</si>
  <si>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</si>
  <si>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</si>
  <si>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</si>
  <si>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</si>
  <si>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</si>
  <si>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</si>
  <si>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</si>
  <si>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</si>
  <si>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</si>
  <si>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</si>
  <si>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</si>
  <si>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</si>
  <si>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</si>
  <si>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</si>
  <si>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</si>
  <si>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</si>
  <si>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</si>
  <si>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</si>
  <si>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</si>
  <si>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</si>
  <si>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</si>
  <si>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</si>
  <si>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</si>
  <si>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</si>
  <si>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</si>
  <si>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</si>
  <si>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</si>
  <si>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</si>
  <si>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</si>
  <si>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</si>
  <si>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</si>
  <si>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</si>
  <si>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</si>
  <si>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</si>
  <si>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</si>
  <si>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</si>
  <si>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</si>
  <si>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</si>
  <si>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</si>
  <si>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</si>
  <si>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</si>
  <si>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</si>
  <si>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</si>
  <si>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</si>
  <si>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</si>
  <si>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</si>
  <si>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</si>
  <si>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</si>
  <si>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</si>
  <si>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</si>
  <si>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</si>
  <si>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</si>
  <si>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</si>
  <si>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</si>
  <si>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</si>
  <si>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</si>
  <si>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</si>
  <si>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</si>
  <si>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</si>
  <si>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</si>
  <si>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</si>
  <si>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</si>
  <si>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</si>
  <si>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</si>
  <si>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</si>
  <si>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</si>
  <si>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</si>
  <si>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</si>
  <si>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</si>
  <si>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</si>
  <si>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</si>
  <si>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</si>
  <si>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</si>
  <si>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</si>
  <si>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</si>
  <si>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</si>
  <si>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</si>
  <si>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</si>
  <si>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</si>
  <si>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</si>
  <si>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</si>
  <si>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</si>
  <si>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</si>
  <si>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</si>
  <si>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</si>
  <si>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</si>
  <si>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</si>
  <si>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</si>
  <si>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</si>
  <si>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</si>
  <si>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</si>
  <si>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</si>
  <si>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</si>
  <si>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</si>
  <si>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</si>
  <si>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</si>
  <si>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</si>
  <si>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</si>
  <si>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</si>
  <si>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</si>
  <si>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</si>
  <si>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</si>
  <si>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</si>
  <si>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</si>
  <si>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</si>
  <si>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</si>
  <si>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</si>
  <si>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</si>
  <si>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</si>
  <si>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</si>
  <si>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</si>
  <si>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</si>
  <si>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</si>
  <si>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</si>
  <si>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</si>
  <si>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</si>
  <si>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</si>
  <si>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</si>
  <si>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</si>
  <si>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</si>
  <si>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</si>
  <si>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</si>
  <si>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</si>
  <si>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</si>
  <si>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</si>
  <si>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</si>
  <si>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</si>
  <si>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</si>
  <si>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</si>
  <si>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</si>
  <si>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</si>
  <si>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</si>
  <si>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</si>
  <si>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</si>
  <si>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</si>
  <si>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</si>
  <si>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</si>
  <si>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</si>
  <si>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</si>
  <si>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</si>
  <si>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</si>
  <si>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</si>
  <si>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</si>
  <si>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</si>
  <si>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</si>
  <si>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</si>
  <si>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</si>
  <si>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</si>
  <si>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</si>
  <si>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</si>
  <si>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</si>
  <si>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</si>
  <si>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</si>
  <si>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</si>
  <si>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</si>
  <si>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</si>
  <si>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</si>
  <si>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</si>
  <si>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</si>
  <si>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</si>
  <si>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</si>
  <si>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</si>
  <si>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</si>
  <si>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</si>
  <si>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</si>
  <si>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</si>
  <si>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</si>
  <si>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</si>
  <si>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</si>
  <si>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</si>
  <si>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</si>
  <si>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</si>
  <si>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</si>
  <si>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</si>
  <si>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</si>
  <si>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</si>
  <si>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</si>
  <si>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</si>
  <si>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</si>
  <si>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</si>
  <si>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</si>
  <si>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</si>
  <si>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</si>
  <si>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</si>
  <si>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</si>
  <si>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</si>
  <si>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</si>
  <si>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</si>
  <si>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</si>
  <si>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</si>
  <si>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</si>
  <si>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</si>
  <si>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</si>
  <si>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</si>
  <si>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</si>
  <si>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</si>
  <si>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</si>
  <si>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</si>
  <si>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</si>
  <si>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</si>
  <si>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</si>
  <si>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</si>
  <si>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</si>
  <si>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</si>
  <si>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</si>
  <si>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</si>
  <si>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</si>
  <si>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</si>
  <si>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</si>
  <si>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</si>
  <si>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</si>
  <si>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</si>
  <si>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</si>
  <si>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</si>
  <si>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</si>
  <si>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</si>
  <si>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</si>
  <si>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</si>
  <si>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</si>
  <si>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</si>
  <si>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</si>
  <si>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</si>
  <si>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</si>
  <si>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</si>
  <si>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</si>
  <si>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</si>
  <si>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</si>
  <si>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</si>
  <si>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</si>
  <si>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</si>
  <si>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</si>
  <si>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</si>
  <si>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</si>
  <si>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</si>
  <si>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</si>
  <si>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</si>
  <si>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</si>
  <si>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</si>
  <si>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</si>
  <si>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</si>
  <si>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</si>
  <si>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</si>
  <si>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</si>
  <si>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</si>
  <si>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</si>
  <si>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</si>
  <si>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</si>
  <si>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</si>
  <si>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</si>
  <si>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</si>
  <si>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</si>
  <si>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</si>
  <si>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</si>
  <si>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</si>
  <si>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</si>
  <si>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</si>
  <si>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</si>
  <si>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</si>
  <si>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</si>
  <si>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</si>
  <si>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</si>
  <si>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</si>
  <si>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</si>
  <si>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</si>
  <si>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</si>
  <si>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</si>
  <si>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</si>
  <si>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</si>
  <si>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</si>
  <si>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</si>
  <si>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</si>
  <si>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</si>
  <si>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</si>
  <si>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</si>
  <si>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</si>
  <si>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</si>
  <si>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</si>
  <si>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</si>
  <si>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</si>
  <si>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</si>
  <si>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</si>
  <si>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</si>
  <si>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</si>
  <si>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</si>
  <si>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</si>
  <si>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</si>
  <si>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</si>
  <si>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</si>
  <si>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</si>
  <si>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</si>
  <si>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</si>
  <si>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</si>
  <si>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</si>
  <si>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</si>
  <si>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</si>
  <si>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</si>
  <si>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</si>
  <si>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</si>
  <si>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</si>
  <si>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</si>
  <si>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</si>
  <si>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</si>
  <si>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</si>
  <si>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</si>
  <si>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</si>
  <si>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</si>
  <si>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</si>
  <si>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</si>
  <si>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</si>
  <si>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</si>
  <si>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</si>
  <si>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</si>
  <si>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</si>
  <si>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</si>
  <si>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</si>
  <si>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</si>
  <si>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</si>
  <si>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</si>
  <si>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</si>
  <si>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</si>
  <si>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</si>
  <si>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</si>
  <si>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</si>
  <si>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</si>
  <si>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</si>
  <si>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</si>
  <si>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</si>
  <si>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</si>
  <si>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</si>
  <si>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</si>
  <si>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</si>
  <si>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</si>
  <si>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</si>
  <si>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</si>
  <si>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</si>
  <si>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</si>
  <si>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</si>
  <si>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</si>
  <si>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</si>
  <si>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</si>
  <si>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</si>
  <si>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</si>
  <si>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</si>
  <si>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</si>
  <si>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</si>
  <si>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</si>
  <si>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</si>
  <si>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</si>
  <si>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</si>
  <si>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</si>
  <si>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</si>
  <si>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</si>
  <si>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</si>
  <si>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</si>
  <si>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</si>
  <si>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</si>
  <si>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</si>
  <si>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</si>
  <si>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</si>
  <si>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</si>
  <si>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</si>
  <si>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</si>
  <si>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</si>
  <si>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</si>
  <si>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</si>
  <si>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</si>
  <si>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</si>
  <si>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</si>
  <si>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</si>
  <si>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</si>
  <si>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</si>
  <si>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</si>
  <si>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</si>
  <si>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</si>
  <si>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</si>
  <si>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</si>
  <si>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</si>
  <si>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</si>
  <si>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</si>
  <si>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</si>
  <si>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</si>
  <si>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</si>
  <si>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</si>
  <si>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</si>
  <si>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</si>
  <si>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</si>
  <si>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</si>
  <si>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</si>
  <si>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</si>
  <si>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</si>
  <si>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</si>
  <si>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</si>
  <si>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</si>
  <si>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</si>
  <si>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</si>
  <si>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</si>
  <si>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</si>
  <si>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</si>
  <si>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</si>
  <si>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</si>
  <si>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</si>
  <si>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</si>
  <si>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</si>
  <si>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</si>
  <si>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</si>
  <si>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</si>
  <si>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</si>
  <si>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</si>
  <si>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</si>
  <si>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</si>
  <si>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</si>
  <si>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</si>
  <si>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</si>
  <si>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</si>
  <si>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</si>
  <si>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</si>
  <si>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</si>
  <si>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</si>
  <si>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</si>
  <si>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</si>
  <si>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</si>
  <si>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</si>
  <si>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</si>
  <si>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</si>
  <si>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</si>
  <si>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</si>
  <si>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</si>
  <si>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</si>
  <si>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</si>
  <si>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</si>
  <si>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</si>
  <si>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</si>
  <si>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</si>
  <si>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</si>
  <si>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</si>
  <si>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</si>
  <si>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</si>
  <si>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</si>
  <si>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</si>
  <si>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</si>
  <si>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</si>
  <si>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</si>
  <si>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</si>
  <si>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</si>
  <si>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</si>
  <si>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</si>
  <si>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</si>
  <si>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</si>
  <si>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</si>
  <si>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</si>
  <si>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</si>
  <si>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</si>
  <si>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</si>
  <si>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</si>
  <si>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</si>
  <si>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</si>
  <si>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</si>
  <si>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</si>
  <si>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</si>
  <si>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</si>
  <si>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</si>
  <si>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</si>
  <si>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</si>
  <si>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</si>
  <si>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</si>
  <si>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</si>
  <si>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</si>
  <si>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</si>
  <si>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</si>
  <si>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</si>
  <si>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</si>
  <si>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</si>
  <si>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</si>
  <si>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</si>
  <si>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</si>
  <si>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</si>
  <si>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</si>
  <si>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</si>
  <si>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</si>
  <si>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</si>
  <si>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</si>
  <si>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</si>
  <si>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</si>
  <si>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</si>
  <si>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</si>
  <si>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</si>
  <si>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</si>
  <si>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</si>
  <si>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</si>
  <si>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</si>
  <si>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</si>
  <si>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</si>
  <si>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</si>
  <si>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</si>
  <si>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</si>
  <si>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</si>
  <si>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</si>
  <si>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</si>
  <si>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</si>
  <si>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</si>
  <si>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</si>
  <si>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</si>
  <si>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</si>
  <si>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</si>
  <si>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</si>
  <si>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</si>
  <si>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</si>
  <si>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</si>
  <si>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</si>
  <si>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</si>
  <si>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</si>
  <si>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</si>
  <si>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</si>
  <si>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</si>
  <si>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</si>
  <si>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</si>
  <si>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</si>
  <si>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</si>
  <si>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</si>
  <si>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</si>
  <si>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</si>
  <si>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</si>
  <si>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</si>
  <si>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</si>
  <si>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</si>
  <si>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</si>
  <si>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</si>
  <si>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</si>
  <si>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</si>
  <si>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</si>
  <si>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</si>
  <si>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</si>
  <si>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</si>
  <si>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</si>
  <si>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</si>
  <si>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</si>
  <si>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</si>
  <si>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</si>
  <si>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</si>
  <si>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</si>
  <si>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</si>
  <si>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</si>
  <si>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</si>
  <si>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</si>
  <si>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</si>
  <si>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</si>
  <si>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</si>
  <si>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</si>
  <si>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</si>
  <si>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</si>
  <si>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</si>
  <si>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</si>
  <si>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</si>
  <si>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</si>
  <si>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</si>
  <si>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</si>
  <si>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</si>
  <si>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</si>
  <si>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</si>
  <si>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</si>
  <si>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</si>
  <si>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</si>
  <si>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</si>
  <si>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</si>
  <si>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</si>
  <si>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</si>
  <si>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</si>
  <si>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</si>
  <si>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</si>
  <si>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</si>
  <si>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</si>
  <si>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</si>
  <si>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</si>
  <si>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</si>
  <si>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</si>
  <si>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</si>
  <si>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</si>
  <si>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</si>
  <si>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</si>
  <si>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</si>
  <si>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</si>
  <si>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</si>
  <si>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</si>
  <si>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</si>
  <si>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</si>
  <si>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</si>
  <si>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</si>
  <si>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</si>
  <si>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</si>
  <si>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</si>
  <si>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</si>
  <si>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</si>
  <si>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</si>
  <si>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</si>
  <si>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</si>
  <si>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</si>
  <si>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</si>
  <si>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</si>
  <si>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</si>
  <si>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</si>
  <si>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</si>
  <si>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</si>
  <si>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</si>
  <si>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</si>
  <si>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</si>
  <si>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</si>
  <si>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</si>
  <si>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</si>
  <si>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</si>
  <si>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</si>
  <si>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</si>
  <si>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</si>
  <si>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</si>
  <si>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</si>
  <si>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</si>
  <si>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</si>
  <si>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</si>
  <si>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</si>
  <si>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</si>
  <si>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</si>
  <si>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</si>
  <si>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</si>
  <si>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</si>
  <si>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</si>
  <si>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</si>
  <si>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</si>
  <si>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</si>
  <si>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</si>
  <si>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</si>
  <si>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</si>
  <si>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</si>
  <si>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</si>
  <si>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</si>
  <si>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</si>
  <si>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Nottingham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</si>
</sst>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413</v>
      </c>
      <c r="C2" s="21">
        <v>413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724880.96</v>
      </c>
      <c r="G9" s="18"/>
      <c r="H9" s="18"/>
      <c r="I9" s="18"/>
      <c r="J9" s="67">
        <f>SUM(I439)</f>
        <v>244710.15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21198</v>
      </c>
      <c r="G12" s="18">
        <v>3413.06</v>
      </c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5674.9</v>
      </c>
      <c r="G13" s="18"/>
      <c r="H13" s="18"/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f>39552.89-21198-5674.9</f>
        <v>12679.99</v>
      </c>
      <c r="G14" s="18">
        <f>4116.13-3413.06</f>
        <v>703.07000000000016</v>
      </c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3201.09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2633.98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767067.83</v>
      </c>
      <c r="G19" s="41">
        <f>SUM(G9:G18)</f>
        <v>7317.22</v>
      </c>
      <c r="H19" s="41">
        <f>SUM(H9:H18)</f>
        <v>0</v>
      </c>
      <c r="I19" s="41">
        <f>SUM(I9:I18)</f>
        <v>0</v>
      </c>
      <c r="J19" s="41">
        <f>SUM(J9:J18)</f>
        <v>244710.15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3413.06</v>
      </c>
      <c r="G22" s="18"/>
      <c r="H22" s="18"/>
      <c r="I22" s="18"/>
      <c r="J22" s="67">
        <f>SUM(I448)</f>
        <v>21198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>
        <f>713.5+53441.19+713.5</f>
        <v>54868.19</v>
      </c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f>247677.93-54868.19-3413.06-23581.76</f>
        <v>165814.91999999998</v>
      </c>
      <c r="G24" s="18">
        <f>4116.13-105.87</f>
        <v>4010.26</v>
      </c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f>58479.53+13292.91+4161-3141.85</f>
        <v>72791.59</v>
      </c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>
        <v>105.87</v>
      </c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296887.76</v>
      </c>
      <c r="G32" s="41">
        <f>SUM(G22:G31)</f>
        <v>4116.13</v>
      </c>
      <c r="H32" s="41">
        <f>SUM(H22:H31)</f>
        <v>0</v>
      </c>
      <c r="I32" s="41">
        <f>SUM(I22:I31)</f>
        <v>0</v>
      </c>
      <c r="J32" s="41">
        <f>SUM(J22:J31)</f>
        <v>21198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>
        <v>3201.09</v>
      </c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70000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60000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223512.15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340180.07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470180.07</v>
      </c>
      <c r="G51" s="41">
        <f>SUM(G35:G50)</f>
        <v>3201.09</v>
      </c>
      <c r="H51" s="41">
        <f>SUM(H35:H50)</f>
        <v>0</v>
      </c>
      <c r="I51" s="41">
        <f>SUM(I35:I50)</f>
        <v>0</v>
      </c>
      <c r="J51" s="41">
        <f>SUM(J35:J50)</f>
        <v>223512.15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767067.83000000007</v>
      </c>
      <c r="G52" s="41">
        <f>G51+G32</f>
        <v>7317.22</v>
      </c>
      <c r="H52" s="41">
        <f>H51+H32</f>
        <v>0</v>
      </c>
      <c r="I52" s="41">
        <f>I51+I32</f>
        <v>0</v>
      </c>
      <c r="J52" s="41">
        <f>J51+J32</f>
        <v>244710.15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7929540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7929540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7815.04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7815.04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160.94</v>
      </c>
      <c r="G96" s="18"/>
      <c r="H96" s="18"/>
      <c r="I96" s="18"/>
      <c r="J96" s="18">
        <v>456.34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88829.88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1000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316.33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1477.27</v>
      </c>
      <c r="G111" s="41">
        <f>SUM(G96:G110)</f>
        <v>88829.88</v>
      </c>
      <c r="H111" s="41">
        <f>SUM(H96:H110)</f>
        <v>0</v>
      </c>
      <c r="I111" s="41">
        <f>SUM(I96:I110)</f>
        <v>0</v>
      </c>
      <c r="J111" s="41">
        <f>SUM(J96:J110)</f>
        <v>456.34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7938832.3099999996</v>
      </c>
      <c r="G112" s="41">
        <f>G60+G111</f>
        <v>88829.88</v>
      </c>
      <c r="H112" s="41">
        <f>H60+H79+H94+H111</f>
        <v>0</v>
      </c>
      <c r="I112" s="41">
        <f>I60+I111</f>
        <v>0</v>
      </c>
      <c r="J112" s="41">
        <f>J60+J111</f>
        <v>456.34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1481655.55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1309388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49371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2840414.55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29809.29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2279.5500000000002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29809.29</v>
      </c>
      <c r="G136" s="41">
        <f>SUM(G123:G135)</f>
        <v>2279.5500000000002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2870223.84</v>
      </c>
      <c r="G140" s="41">
        <f>G121+SUM(G136:G137)</f>
        <v>2279.5500000000002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/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/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35793.480000000003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73101.64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73101.64</v>
      </c>
      <c r="G162" s="41">
        <f>SUM(G150:G161)</f>
        <v>35793.480000000003</v>
      </c>
      <c r="H162" s="41">
        <f>SUM(H150:H161)</f>
        <v>0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73101.64</v>
      </c>
      <c r="G169" s="41">
        <f>G147+G162+SUM(G163:G168)</f>
        <v>35793.480000000003</v>
      </c>
      <c r="H169" s="41">
        <f>H147+H162+SUM(H163:H168)</f>
        <v>0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29817.16</v>
      </c>
      <c r="H179" s="18"/>
      <c r="I179" s="18"/>
      <c r="J179" s="18">
        <v>90000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29817.16</v>
      </c>
      <c r="H183" s="41">
        <f>SUM(H179:H182)</f>
        <v>0</v>
      </c>
      <c r="I183" s="41">
        <f>SUM(I179:I182)</f>
        <v>0</v>
      </c>
      <c r="J183" s="41">
        <f>SUM(J179:J182)</f>
        <v>90000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29817.16</v>
      </c>
      <c r="H192" s="41">
        <f>+H183+SUM(H188:H191)</f>
        <v>0</v>
      </c>
      <c r="I192" s="41">
        <f>I177+I183+SUM(I188:I191)</f>
        <v>0</v>
      </c>
      <c r="J192" s="41">
        <f>J183</f>
        <v>90000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10882157.789999999</v>
      </c>
      <c r="G193" s="47">
        <f>G112+G140+G169+G192</f>
        <v>156720.07</v>
      </c>
      <c r="H193" s="47">
        <f>H112+H140+H169+H192</f>
        <v>0</v>
      </c>
      <c r="I193" s="47">
        <f>I112+I140+I169+I192</f>
        <v>0</v>
      </c>
      <c r="J193" s="47">
        <f>J112+J140+J192</f>
        <v>90456.34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2122348.9500000002</v>
      </c>
      <c r="G197" s="18">
        <v>1011802.41</v>
      </c>
      <c r="H197" s="18">
        <v>17609.330000000002</v>
      </c>
      <c r="I197" s="18">
        <v>113186.53</v>
      </c>
      <c r="J197" s="18">
        <v>0</v>
      </c>
      <c r="K197" s="18">
        <v>522</v>
      </c>
      <c r="L197" s="19">
        <f>SUM(F197:K197)</f>
        <v>3265469.22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804953.05</v>
      </c>
      <c r="G198" s="18">
        <v>254135.18</v>
      </c>
      <c r="H198" s="18">
        <f>265057.33-4540</f>
        <v>260517.33000000002</v>
      </c>
      <c r="I198" s="18">
        <v>5821.78</v>
      </c>
      <c r="J198" s="18">
        <v>531.87</v>
      </c>
      <c r="K198" s="18">
        <v>6703.9</v>
      </c>
      <c r="L198" s="19">
        <f>SUM(F198:K198)</f>
        <v>1332663.1100000001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30000</v>
      </c>
      <c r="G200" s="18">
        <v>4606.34</v>
      </c>
      <c r="H200" s="18">
        <v>3736</v>
      </c>
      <c r="I200" s="18">
        <v>2021.58</v>
      </c>
      <c r="J200" s="18">
        <v>2580</v>
      </c>
      <c r="K200" s="18">
        <v>825</v>
      </c>
      <c r="L200" s="19">
        <f>SUM(F200:K200)</f>
        <v>43768.92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279154.02</v>
      </c>
      <c r="G202" s="18">
        <v>165619.74</v>
      </c>
      <c r="H202" s="18">
        <v>189358.54</v>
      </c>
      <c r="I202" s="18">
        <v>2033.01</v>
      </c>
      <c r="J202" s="18">
        <v>0</v>
      </c>
      <c r="K202" s="18">
        <v>0</v>
      </c>
      <c r="L202" s="19">
        <f t="shared" ref="L202:L208" si="0">SUM(F202:K202)</f>
        <v>636165.31000000006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221394.54</v>
      </c>
      <c r="G203" s="18">
        <v>133315.72</v>
      </c>
      <c r="H203" s="18">
        <v>28128.89</v>
      </c>
      <c r="I203" s="18">
        <v>21743.46</v>
      </c>
      <c r="J203" s="18">
        <v>39264.800000000003</v>
      </c>
      <c r="K203" s="18">
        <v>575</v>
      </c>
      <c r="L203" s="19">
        <f t="shared" si="0"/>
        <v>444422.41000000003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10057.65</v>
      </c>
      <c r="G204" s="18">
        <v>739.19</v>
      </c>
      <c r="H204" s="18">
        <v>339297.4</v>
      </c>
      <c r="I204" s="18">
        <v>0</v>
      </c>
      <c r="J204" s="18">
        <v>0</v>
      </c>
      <c r="K204" s="18">
        <v>2568.11</v>
      </c>
      <c r="L204" s="19">
        <f t="shared" si="0"/>
        <v>352662.35000000003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235359.01</v>
      </c>
      <c r="G205" s="18">
        <v>102245.12</v>
      </c>
      <c r="H205" s="18">
        <v>15214.83</v>
      </c>
      <c r="I205" s="18">
        <v>3790.76</v>
      </c>
      <c r="J205" s="18">
        <v>729.47</v>
      </c>
      <c r="K205" s="18">
        <v>1500</v>
      </c>
      <c r="L205" s="19">
        <f t="shared" si="0"/>
        <v>358839.19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140936.03</v>
      </c>
      <c r="G207" s="18">
        <v>70112.679999999993</v>
      </c>
      <c r="H207" s="18">
        <v>167596.26999999999</v>
      </c>
      <c r="I207" s="18">
        <v>134801.87</v>
      </c>
      <c r="J207" s="18">
        <v>52741.43</v>
      </c>
      <c r="K207" s="18">
        <v>0</v>
      </c>
      <c r="L207" s="19">
        <f t="shared" si="0"/>
        <v>566188.28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0</v>
      </c>
      <c r="G208" s="18">
        <v>0</v>
      </c>
      <c r="H208" s="18">
        <v>460385.66</v>
      </c>
      <c r="I208" s="18">
        <v>0</v>
      </c>
      <c r="J208" s="18">
        <v>0</v>
      </c>
      <c r="K208" s="18">
        <v>0</v>
      </c>
      <c r="L208" s="19">
        <f t="shared" si="0"/>
        <v>460385.66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3844203.2499999995</v>
      </c>
      <c r="G211" s="41">
        <f t="shared" si="1"/>
        <v>1742576.3800000001</v>
      </c>
      <c r="H211" s="41">
        <f t="shared" si="1"/>
        <v>1481844.25</v>
      </c>
      <c r="I211" s="41">
        <f t="shared" si="1"/>
        <v>283398.99</v>
      </c>
      <c r="J211" s="41">
        <f t="shared" si="1"/>
        <v>95847.57</v>
      </c>
      <c r="K211" s="41">
        <f t="shared" si="1"/>
        <v>12694.01</v>
      </c>
      <c r="L211" s="41">
        <f t="shared" si="1"/>
        <v>7460564.4500000011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v>0</v>
      </c>
      <c r="G233" s="18">
        <v>0</v>
      </c>
      <c r="H233" s="18">
        <v>2755595.43</v>
      </c>
      <c r="I233" s="18">
        <v>0</v>
      </c>
      <c r="J233" s="18">
        <v>0</v>
      </c>
      <c r="K233" s="18">
        <v>0</v>
      </c>
      <c r="L233" s="19">
        <f>SUM(F233:K233)</f>
        <v>2755595.43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0</v>
      </c>
      <c r="G234" s="18">
        <v>0</v>
      </c>
      <c r="H234" s="18">
        <v>340600.21</v>
      </c>
      <c r="I234" s="18">
        <v>310.31</v>
      </c>
      <c r="J234" s="18">
        <v>0</v>
      </c>
      <c r="K234" s="18">
        <v>0</v>
      </c>
      <c r="L234" s="19">
        <f>SUM(F234:K234)</f>
        <v>340910.52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0</v>
      </c>
      <c r="G238" s="18">
        <v>0</v>
      </c>
      <c r="H238" s="18">
        <v>3397.22</v>
      </c>
      <c r="I238" s="18">
        <v>0</v>
      </c>
      <c r="J238" s="18">
        <v>0</v>
      </c>
      <c r="K238" s="18">
        <v>0</v>
      </c>
      <c r="L238" s="19">
        <f t="shared" ref="L238:L244" si="4">SUM(F238:K238)</f>
        <v>3397.22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0</v>
      </c>
      <c r="G239" s="18">
        <v>0</v>
      </c>
      <c r="H239" s="18">
        <v>0</v>
      </c>
      <c r="I239" s="18">
        <v>0</v>
      </c>
      <c r="J239" s="18">
        <v>0</v>
      </c>
      <c r="K239" s="18">
        <v>0</v>
      </c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3911.31</v>
      </c>
      <c r="G240" s="18">
        <v>287.45999999999998</v>
      </c>
      <c r="H240" s="18">
        <v>131948.99</v>
      </c>
      <c r="I240" s="18">
        <v>0</v>
      </c>
      <c r="J240" s="18">
        <v>0</v>
      </c>
      <c r="K240" s="18">
        <v>998.71</v>
      </c>
      <c r="L240" s="19">
        <f t="shared" si="4"/>
        <v>137146.46999999997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0</v>
      </c>
      <c r="G243" s="18">
        <v>0</v>
      </c>
      <c r="H243" s="18">
        <v>0</v>
      </c>
      <c r="I243" s="18">
        <v>0</v>
      </c>
      <c r="J243" s="18">
        <v>0</v>
      </c>
      <c r="K243" s="18">
        <v>0</v>
      </c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v>0</v>
      </c>
      <c r="G244" s="18">
        <v>0</v>
      </c>
      <c r="H244" s="18">
        <v>223043.46</v>
      </c>
      <c r="I244" s="18">
        <v>0</v>
      </c>
      <c r="J244" s="18">
        <v>0</v>
      </c>
      <c r="K244" s="18">
        <v>0</v>
      </c>
      <c r="L244" s="19">
        <f t="shared" si="4"/>
        <v>223043.46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3911.31</v>
      </c>
      <c r="G247" s="41">
        <f t="shared" si="5"/>
        <v>287.45999999999998</v>
      </c>
      <c r="H247" s="41">
        <f t="shared" si="5"/>
        <v>3454585.3100000005</v>
      </c>
      <c r="I247" s="41">
        <f t="shared" si="5"/>
        <v>310.31</v>
      </c>
      <c r="J247" s="41">
        <f t="shared" si="5"/>
        <v>0</v>
      </c>
      <c r="K247" s="41">
        <f t="shared" si="5"/>
        <v>998.71</v>
      </c>
      <c r="L247" s="41">
        <f t="shared" si="5"/>
        <v>3460093.1000000006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3848114.5599999996</v>
      </c>
      <c r="G257" s="41">
        <f t="shared" si="8"/>
        <v>1742863.84</v>
      </c>
      <c r="H257" s="41">
        <f t="shared" si="8"/>
        <v>4936429.5600000005</v>
      </c>
      <c r="I257" s="41">
        <f t="shared" si="8"/>
        <v>283709.3</v>
      </c>
      <c r="J257" s="41">
        <f t="shared" si="8"/>
        <v>95847.57</v>
      </c>
      <c r="K257" s="41">
        <f t="shared" si="8"/>
        <v>13692.720000000001</v>
      </c>
      <c r="L257" s="41">
        <f t="shared" si="8"/>
        <v>10920657.550000001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29817.16</v>
      </c>
      <c r="L263" s="19">
        <f>SUM(F263:K263)</f>
        <v>29817.16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>
        <v>0</v>
      </c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>
        <v>0</v>
      </c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90000</v>
      </c>
      <c r="L266" s="19">
        <f t="shared" si="9"/>
        <v>90000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>
        <f>6000+4540</f>
        <v>10540</v>
      </c>
      <c r="L268" s="19">
        <f t="shared" si="9"/>
        <v>10540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130357.16</v>
      </c>
      <c r="L270" s="41">
        <f t="shared" si="9"/>
        <v>130357.16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3848114.5599999996</v>
      </c>
      <c r="G271" s="42">
        <f t="shared" si="11"/>
        <v>1742863.84</v>
      </c>
      <c r="H271" s="42">
        <f t="shared" si="11"/>
        <v>4936429.5600000005</v>
      </c>
      <c r="I271" s="42">
        <f t="shared" si="11"/>
        <v>283709.3</v>
      </c>
      <c r="J271" s="42">
        <f t="shared" si="11"/>
        <v>95847.57</v>
      </c>
      <c r="K271" s="42">
        <f t="shared" si="11"/>
        <v>144049.88</v>
      </c>
      <c r="L271" s="42">
        <f t="shared" si="11"/>
        <v>11051014.710000001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70545.899999999994</v>
      </c>
      <c r="G358" s="18">
        <v>31466.33</v>
      </c>
      <c r="H358" s="18">
        <v>1137</v>
      </c>
      <c r="I358" s="18">
        <f>53575.29-2.24</f>
        <v>53573.05</v>
      </c>
      <c r="J358" s="18">
        <v>0</v>
      </c>
      <c r="K358" s="18">
        <v>0</v>
      </c>
      <c r="L358" s="13">
        <f>SUM(F358:K358)</f>
        <v>156722.28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70545.899999999994</v>
      </c>
      <c r="G362" s="47">
        <f t="shared" si="22"/>
        <v>31466.33</v>
      </c>
      <c r="H362" s="47">
        <f t="shared" si="22"/>
        <v>1137</v>
      </c>
      <c r="I362" s="47">
        <f t="shared" si="22"/>
        <v>53573.05</v>
      </c>
      <c r="J362" s="47">
        <f t="shared" si="22"/>
        <v>0</v>
      </c>
      <c r="K362" s="47">
        <f t="shared" si="22"/>
        <v>0</v>
      </c>
      <c r="L362" s="47">
        <f t="shared" si="22"/>
        <v>156722.28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f>50814.82-2.24</f>
        <v>50812.58</v>
      </c>
      <c r="G367" s="18"/>
      <c r="H367" s="18"/>
      <c r="I367" s="56">
        <f>SUM(F367:H367)</f>
        <v>50812.58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2760.47</v>
      </c>
      <c r="G368" s="63"/>
      <c r="H368" s="63"/>
      <c r="I368" s="56">
        <f>SUM(F368:H368)</f>
        <v>2760.47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53573.05</v>
      </c>
      <c r="G369" s="47">
        <f>SUM(G367:G368)</f>
        <v>0</v>
      </c>
      <c r="H369" s="47">
        <f>SUM(H367:H368)</f>
        <v>0</v>
      </c>
      <c r="I369" s="47">
        <f>SUM(I367:I368)</f>
        <v>53573.05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25000</v>
      </c>
      <c r="H396" s="18">
        <v>121.68</v>
      </c>
      <c r="I396" s="18"/>
      <c r="J396" s="24" t="s">
        <v>288</v>
      </c>
      <c r="K396" s="24" t="s">
        <v>288</v>
      </c>
      <c r="L396" s="56">
        <f t="shared" si="26"/>
        <v>25121.68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>
        <v>15000</v>
      </c>
      <c r="H397" s="18">
        <v>209.11</v>
      </c>
      <c r="I397" s="18"/>
      <c r="J397" s="24" t="s">
        <v>288</v>
      </c>
      <c r="K397" s="24" t="s">
        <v>288</v>
      </c>
      <c r="L397" s="56">
        <f t="shared" si="26"/>
        <v>15209.11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>
        <v>50000</v>
      </c>
      <c r="H400" s="18">
        <v>125.55</v>
      </c>
      <c r="I400" s="18"/>
      <c r="J400" s="24" t="s">
        <v>288</v>
      </c>
      <c r="K400" s="24" t="s">
        <v>288</v>
      </c>
      <c r="L400" s="56">
        <f t="shared" si="26"/>
        <v>50125.55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90000</v>
      </c>
      <c r="H401" s="47">
        <f>SUM(H395:H400)</f>
        <v>456.34000000000003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90456.34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90000</v>
      </c>
      <c r="H408" s="47">
        <f>H393+H401+H407</f>
        <v>456.34000000000003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90456.34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>
        <v>21198</v>
      </c>
      <c r="I426" s="18"/>
      <c r="J426" s="18"/>
      <c r="K426" s="18"/>
      <c r="L426" s="56">
        <f t="shared" si="29"/>
        <v>21198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21198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21198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21198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21198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>
        <v>244710.15</v>
      </c>
      <c r="G439" s="18"/>
      <c r="H439" s="18"/>
      <c r="I439" s="56">
        <f t="shared" ref="I439:I445" si="33">SUM(F439:H439)</f>
        <v>244710.15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244710.15</v>
      </c>
      <c r="G446" s="13">
        <f>SUM(G439:G445)</f>
        <v>0</v>
      </c>
      <c r="H446" s="13">
        <f>SUM(H439:H445)</f>
        <v>0</v>
      </c>
      <c r="I446" s="13">
        <f>SUM(I439:I445)</f>
        <v>244710.15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>
        <v>21198</v>
      </c>
      <c r="G448" s="18"/>
      <c r="H448" s="18"/>
      <c r="I448" s="56">
        <f>SUM(F448:H448)</f>
        <v>21198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21198</v>
      </c>
      <c r="G452" s="72">
        <f>SUM(G448:G451)</f>
        <v>0</v>
      </c>
      <c r="H452" s="72">
        <f>SUM(H448:H451)</f>
        <v>0</v>
      </c>
      <c r="I452" s="72">
        <f>SUM(I448:I451)</f>
        <v>21198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223512.15</v>
      </c>
      <c r="G459" s="18"/>
      <c r="H459" s="18"/>
      <c r="I459" s="56">
        <f t="shared" si="34"/>
        <v>223512.15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223512.15</v>
      </c>
      <c r="G460" s="83">
        <f>SUM(G454:G459)</f>
        <v>0</v>
      </c>
      <c r="H460" s="83">
        <f>SUM(H454:H459)</f>
        <v>0</v>
      </c>
      <c r="I460" s="83">
        <f>SUM(I454:I459)</f>
        <v>223512.15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244710.15</v>
      </c>
      <c r="G461" s="42">
        <f>G452+G460</f>
        <v>0</v>
      </c>
      <c r="H461" s="42">
        <f>H452+H460</f>
        <v>0</v>
      </c>
      <c r="I461" s="42">
        <f>I452+I460</f>
        <v>244710.15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639036.99</v>
      </c>
      <c r="G465" s="18">
        <v>3203.3</v>
      </c>
      <c r="H465" s="18"/>
      <c r="I465" s="18"/>
      <c r="J465" s="18">
        <v>154253.81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10882157.789999999</v>
      </c>
      <c r="G468" s="18">
        <v>156720.07</v>
      </c>
      <c r="H468" s="18"/>
      <c r="I468" s="18"/>
      <c r="J468" s="18">
        <v>90456.34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10882157.789999999</v>
      </c>
      <c r="G470" s="53">
        <f>SUM(G468:G469)</f>
        <v>156720.07</v>
      </c>
      <c r="H470" s="53">
        <f>SUM(H468:H469)</f>
        <v>0</v>
      </c>
      <c r="I470" s="53">
        <f>SUM(I468:I469)</f>
        <v>0</v>
      </c>
      <c r="J470" s="53">
        <f>SUM(J468:J469)</f>
        <v>90456.34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11113578.23+90000+4161-156724.52</f>
        <v>11051014.710000001</v>
      </c>
      <c r="G472" s="18">
        <f>156724.52-2.24</f>
        <v>156722.28</v>
      </c>
      <c r="H472" s="18"/>
      <c r="I472" s="18"/>
      <c r="J472" s="18">
        <v>21198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11051014.710000001</v>
      </c>
      <c r="G474" s="53">
        <f>SUM(G472:G473)</f>
        <v>156722.28</v>
      </c>
      <c r="H474" s="53">
        <f>SUM(H472:H473)</f>
        <v>0</v>
      </c>
      <c r="I474" s="53">
        <f>SUM(I472:I473)</f>
        <v>0</v>
      </c>
      <c r="J474" s="53">
        <f>SUM(J472:J473)</f>
        <v>21198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470180.06999999844</v>
      </c>
      <c r="G476" s="53">
        <f>(G465+G470)- G474</f>
        <v>3201.0899999999965</v>
      </c>
      <c r="H476" s="53">
        <f>(H465+H470)- H474</f>
        <v>0</v>
      </c>
      <c r="I476" s="53">
        <f>(I465+I470)- I474</f>
        <v>0</v>
      </c>
      <c r="J476" s="53">
        <f>(J465+J470)- J474</f>
        <v>223512.15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804953.05</v>
      </c>
      <c r="G521" s="18">
        <v>254135.18</v>
      </c>
      <c r="H521" s="18">
        <v>265057.33</v>
      </c>
      <c r="I521" s="18">
        <v>5821.78</v>
      </c>
      <c r="J521" s="18">
        <v>531.87</v>
      </c>
      <c r="K521" s="18">
        <v>6703.9</v>
      </c>
      <c r="L521" s="88">
        <f>SUM(F521:K521)</f>
        <v>1337203.1100000001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v>0</v>
      </c>
      <c r="G522" s="18">
        <v>0</v>
      </c>
      <c r="H522" s="18">
        <v>0</v>
      </c>
      <c r="I522" s="18">
        <v>0</v>
      </c>
      <c r="J522" s="18">
        <v>0</v>
      </c>
      <c r="K522" s="18">
        <v>0</v>
      </c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0</v>
      </c>
      <c r="G523" s="18">
        <v>0</v>
      </c>
      <c r="H523" s="18">
        <v>340600.21</v>
      </c>
      <c r="I523" s="18">
        <v>0</v>
      </c>
      <c r="J523" s="18">
        <v>0</v>
      </c>
      <c r="K523" s="18">
        <v>0</v>
      </c>
      <c r="L523" s="88">
        <f>SUM(F523:K523)</f>
        <v>340600.21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804953.05</v>
      </c>
      <c r="G524" s="108">
        <f t="shared" ref="G524:L524" si="36">SUM(G521:G523)</f>
        <v>254135.18</v>
      </c>
      <c r="H524" s="108">
        <f t="shared" si="36"/>
        <v>605657.54</v>
      </c>
      <c r="I524" s="108">
        <f t="shared" si="36"/>
        <v>5821.78</v>
      </c>
      <c r="J524" s="108">
        <f t="shared" si="36"/>
        <v>531.87</v>
      </c>
      <c r="K524" s="108">
        <f t="shared" si="36"/>
        <v>6703.9</v>
      </c>
      <c r="L524" s="89">
        <f t="shared" si="36"/>
        <v>1677803.32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104517.02</v>
      </c>
      <c r="G526" s="18">
        <f>39443.38+1088.4+174.96+7302.69+16377.86+300</f>
        <v>64687.29</v>
      </c>
      <c r="H526" s="18">
        <f>163983.74+25006.8</f>
        <v>188990.53999999998</v>
      </c>
      <c r="I526" s="18">
        <f>442.44</f>
        <v>442.44</v>
      </c>
      <c r="J526" s="18">
        <v>0</v>
      </c>
      <c r="K526" s="18">
        <v>0</v>
      </c>
      <c r="L526" s="88">
        <f>SUM(F526:K526)</f>
        <v>358637.29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v>0</v>
      </c>
      <c r="G527" s="18">
        <v>0</v>
      </c>
      <c r="H527" s="18">
        <v>0</v>
      </c>
      <c r="I527" s="18">
        <v>0</v>
      </c>
      <c r="J527" s="18">
        <v>0</v>
      </c>
      <c r="K527" s="18">
        <v>0</v>
      </c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v>0</v>
      </c>
      <c r="G528" s="18">
        <v>0</v>
      </c>
      <c r="H528" s="18">
        <f>6393.19+2000.98</f>
        <v>8394.17</v>
      </c>
      <c r="I528" s="18">
        <v>0</v>
      </c>
      <c r="J528" s="18">
        <v>0</v>
      </c>
      <c r="K528" s="18">
        <v>0</v>
      </c>
      <c r="L528" s="88">
        <f>SUM(F528:K528)</f>
        <v>8394.17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104517.02</v>
      </c>
      <c r="G529" s="89">
        <f t="shared" ref="G529:L529" si="37">SUM(G526:G528)</f>
        <v>64687.29</v>
      </c>
      <c r="H529" s="89">
        <f t="shared" si="37"/>
        <v>197384.71</v>
      </c>
      <c r="I529" s="89">
        <f t="shared" si="37"/>
        <v>442.44</v>
      </c>
      <c r="J529" s="89">
        <f t="shared" si="37"/>
        <v>0</v>
      </c>
      <c r="K529" s="89">
        <f t="shared" si="37"/>
        <v>0</v>
      </c>
      <c r="L529" s="89">
        <f t="shared" si="37"/>
        <v>367031.45999999996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0</v>
      </c>
      <c r="G531" s="18">
        <v>0</v>
      </c>
      <c r="H531" s="18">
        <v>68810.31</v>
      </c>
      <c r="I531" s="18">
        <v>0</v>
      </c>
      <c r="J531" s="18">
        <v>0</v>
      </c>
      <c r="K531" s="18">
        <v>0</v>
      </c>
      <c r="L531" s="88">
        <f>SUM(F531:K531)</f>
        <v>68810.31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v>0</v>
      </c>
      <c r="G532" s="18">
        <v>0</v>
      </c>
      <c r="H532" s="18">
        <v>0</v>
      </c>
      <c r="I532" s="18">
        <v>0</v>
      </c>
      <c r="J532" s="18">
        <v>0</v>
      </c>
      <c r="K532" s="18">
        <v>0</v>
      </c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0</v>
      </c>
      <c r="G533" s="18">
        <v>0</v>
      </c>
      <c r="H533" s="18">
        <v>25981.79</v>
      </c>
      <c r="I533" s="18">
        <v>0</v>
      </c>
      <c r="J533" s="18">
        <v>0</v>
      </c>
      <c r="K533" s="18">
        <v>0</v>
      </c>
      <c r="L533" s="88">
        <f>SUM(F533:K533)</f>
        <v>25981.79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94792.1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94792.1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18">
        <v>0</v>
      </c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>
        <v>0</v>
      </c>
      <c r="G538" s="18">
        <v>0</v>
      </c>
      <c r="H538" s="18">
        <v>0</v>
      </c>
      <c r="I538" s="18">
        <v>0</v>
      </c>
      <c r="J538" s="18">
        <v>0</v>
      </c>
      <c r="K538" s="18">
        <v>0</v>
      </c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>
        <v>0</v>
      </c>
      <c r="G541" s="18">
        <v>0</v>
      </c>
      <c r="H541" s="18">
        <v>96219.31</v>
      </c>
      <c r="I541" s="18">
        <v>0</v>
      </c>
      <c r="J541" s="18">
        <v>0</v>
      </c>
      <c r="K541" s="18">
        <v>0</v>
      </c>
      <c r="L541" s="88">
        <f>SUM(F541:K541)</f>
        <v>96219.31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>
        <v>0</v>
      </c>
      <c r="G542" s="18">
        <v>0</v>
      </c>
      <c r="H542" s="18">
        <v>0</v>
      </c>
      <c r="I542" s="18">
        <v>0</v>
      </c>
      <c r="J542" s="18">
        <v>0</v>
      </c>
      <c r="K542" s="18">
        <v>0</v>
      </c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>
        <v>0</v>
      </c>
      <c r="G543" s="18">
        <v>0</v>
      </c>
      <c r="H543" s="18">
        <v>37169.160000000003</v>
      </c>
      <c r="I543" s="18">
        <v>0</v>
      </c>
      <c r="J543" s="18">
        <v>0</v>
      </c>
      <c r="K543" s="18">
        <v>0</v>
      </c>
      <c r="L543" s="88">
        <f>SUM(F543:K543)</f>
        <v>37169.160000000003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133388.47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133388.47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909470.07000000007</v>
      </c>
      <c r="G545" s="89">
        <f t="shared" ref="G545:L545" si="41">G524+G529+G534+G539+G544</f>
        <v>318822.46999999997</v>
      </c>
      <c r="H545" s="89">
        <f t="shared" si="41"/>
        <v>1031222.82</v>
      </c>
      <c r="I545" s="89">
        <f t="shared" si="41"/>
        <v>6264.2199999999993</v>
      </c>
      <c r="J545" s="89">
        <f t="shared" si="41"/>
        <v>531.87</v>
      </c>
      <c r="K545" s="89">
        <f t="shared" si="41"/>
        <v>6703.9</v>
      </c>
      <c r="L545" s="89">
        <f t="shared" si="41"/>
        <v>2273015.35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1337203.1100000001</v>
      </c>
      <c r="G549" s="87">
        <f>L526</f>
        <v>358637.29</v>
      </c>
      <c r="H549" s="87">
        <f>L531</f>
        <v>68810.31</v>
      </c>
      <c r="I549" s="87">
        <f>L536</f>
        <v>0</v>
      </c>
      <c r="J549" s="87">
        <f>L541</f>
        <v>96219.31</v>
      </c>
      <c r="K549" s="87">
        <f>SUM(F549:J549)</f>
        <v>1860870.0200000003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340600.21</v>
      </c>
      <c r="G551" s="87">
        <f>L528</f>
        <v>8394.17</v>
      </c>
      <c r="H551" s="87">
        <f>L533</f>
        <v>25981.79</v>
      </c>
      <c r="I551" s="87">
        <f>L538</f>
        <v>0</v>
      </c>
      <c r="J551" s="87">
        <f>L543</f>
        <v>37169.160000000003</v>
      </c>
      <c r="K551" s="87">
        <f>SUM(F551:J551)</f>
        <v>412145.32999999996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1677803.32</v>
      </c>
      <c r="G552" s="89">
        <f t="shared" si="42"/>
        <v>367031.45999999996</v>
      </c>
      <c r="H552" s="89">
        <f t="shared" si="42"/>
        <v>94792.1</v>
      </c>
      <c r="I552" s="89">
        <f t="shared" si="42"/>
        <v>0</v>
      </c>
      <c r="J552" s="89">
        <f t="shared" si="42"/>
        <v>133388.47</v>
      </c>
      <c r="K552" s="89">
        <f t="shared" si="42"/>
        <v>2273015.35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>
        <v>941700.35</v>
      </c>
      <c r="I575" s="87">
        <f>SUM(F575:H575)</f>
        <v>941700.35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>
        <v>1819895.08</v>
      </c>
      <c r="I577" s="87">
        <f t="shared" si="47"/>
        <v>1819895.08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f>103924.19+160845.75</f>
        <v>264769.94</v>
      </c>
      <c r="G579" s="18"/>
      <c r="H579" s="18">
        <f>60959.99+100079.98+1183.88+6393.19+50777.91-6000</f>
        <v>213394.95</v>
      </c>
      <c r="I579" s="87">
        <f t="shared" si="47"/>
        <v>478164.89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>
        <f>79846.23+41359.03</f>
        <v>121205.26</v>
      </c>
      <c r="I581" s="87">
        <f t="shared" si="47"/>
        <v>121205.26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354692.9</v>
      </c>
      <c r="I591" s="18">
        <v>0</v>
      </c>
      <c r="J591" s="18">
        <v>185874.3</v>
      </c>
      <c r="K591" s="104">
        <f t="shared" ref="K591:K597" si="48">SUM(H591:J591)</f>
        <v>540567.19999999995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96219.31</v>
      </c>
      <c r="I592" s="18">
        <v>0</v>
      </c>
      <c r="J592" s="18">
        <v>37169.160000000003</v>
      </c>
      <c r="K592" s="104">
        <f t="shared" si="48"/>
        <v>133388.47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>
        <v>0</v>
      </c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4387.5</v>
      </c>
      <c r="I594" s="18">
        <v>0</v>
      </c>
      <c r="J594" s="18">
        <v>0</v>
      </c>
      <c r="K594" s="104">
        <f t="shared" si="48"/>
        <v>4387.5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5085.95</v>
      </c>
      <c r="I595" s="18">
        <v>0</v>
      </c>
      <c r="J595" s="18">
        <v>0</v>
      </c>
      <c r="K595" s="104">
        <f t="shared" si="48"/>
        <v>5085.95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>
        <v>0</v>
      </c>
      <c r="I597" s="18">
        <v>0</v>
      </c>
      <c r="J597" s="18">
        <v>0</v>
      </c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460385.66000000003</v>
      </c>
      <c r="I598" s="108">
        <f>SUM(I591:I597)</f>
        <v>0</v>
      </c>
      <c r="J598" s="108">
        <f>SUM(J591:J597)</f>
        <v>223043.46</v>
      </c>
      <c r="K598" s="108">
        <f>SUM(K591:K597)</f>
        <v>683429.11999999988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>
        <v>0</v>
      </c>
      <c r="I603" s="18">
        <v>0</v>
      </c>
      <c r="J603" s="18">
        <v>0</v>
      </c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95847.57</v>
      </c>
      <c r="I604" s="18">
        <v>0</v>
      </c>
      <c r="J604" s="18">
        <v>0</v>
      </c>
      <c r="K604" s="104">
        <f>SUM(H604:J604)</f>
        <v>95847.57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95847.57</v>
      </c>
      <c r="I605" s="108">
        <f>SUM(I602:I604)</f>
        <v>0</v>
      </c>
      <c r="J605" s="108">
        <f>SUM(J602:J604)</f>
        <v>0</v>
      </c>
      <c r="K605" s="108">
        <f>SUM(K602:K604)</f>
        <v>95847.57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f>21504.71-5270.96</f>
        <v>16233.75</v>
      </c>
      <c r="G611" s="18">
        <v>1241.8800000000001</v>
      </c>
      <c r="H611" s="18">
        <v>5270.96</v>
      </c>
      <c r="I611" s="18">
        <v>0</v>
      </c>
      <c r="J611" s="18">
        <v>0</v>
      </c>
      <c r="K611" s="18">
        <v>0</v>
      </c>
      <c r="L611" s="88">
        <f>SUM(F611:K611)</f>
        <v>22746.59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>
        <v>0</v>
      </c>
      <c r="G612" s="18">
        <v>0</v>
      </c>
      <c r="H612" s="18">
        <v>0</v>
      </c>
      <c r="I612" s="18">
        <v>0</v>
      </c>
      <c r="J612" s="18">
        <v>0</v>
      </c>
      <c r="K612" s="18">
        <v>0</v>
      </c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>
        <v>1183.8800000000001</v>
      </c>
      <c r="G613" s="18">
        <v>90.57</v>
      </c>
      <c r="H613" s="18">
        <v>0</v>
      </c>
      <c r="I613" s="18">
        <v>0</v>
      </c>
      <c r="J613" s="18">
        <v>0</v>
      </c>
      <c r="K613" s="18">
        <v>0</v>
      </c>
      <c r="L613" s="88">
        <f>SUM(F613:K613)</f>
        <v>1274.45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17417.63</v>
      </c>
      <c r="G614" s="108">
        <f t="shared" si="49"/>
        <v>1332.45</v>
      </c>
      <c r="H614" s="108">
        <f t="shared" si="49"/>
        <v>5270.96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24021.040000000001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767067.83</v>
      </c>
      <c r="H617" s="109">
        <f>SUM(F52)</f>
        <v>767067.83000000007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7317.22</v>
      </c>
      <c r="H618" s="109">
        <f>SUM(G52)</f>
        <v>7317.22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0</v>
      </c>
      <c r="H619" s="109">
        <f>SUM(H52)</f>
        <v>0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244710.15</v>
      </c>
      <c r="H621" s="109">
        <f>SUM(J52)</f>
        <v>244710.15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470180.07</v>
      </c>
      <c r="H622" s="109">
        <f>F476</f>
        <v>470180.06999999844</v>
      </c>
      <c r="I622" s="121" t="s">
        <v>101</v>
      </c>
      <c r="J622" s="109">
        <f t="shared" ref="J622:J655" si="50">G622-H622</f>
        <v>1.57160684466362E-9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3201.09</v>
      </c>
      <c r="H623" s="109">
        <f>G476</f>
        <v>3201.0899999999965</v>
      </c>
      <c r="I623" s="121" t="s">
        <v>102</v>
      </c>
      <c r="J623" s="109">
        <f t="shared" si="50"/>
        <v>3.637978807091713E-12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223512.15</v>
      </c>
      <c r="H626" s="109">
        <f>J476</f>
        <v>223512.15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10882157.789999999</v>
      </c>
      <c r="H627" s="104">
        <f>SUM(F468)</f>
        <v>10882157.789999999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156720.07</v>
      </c>
      <c r="H628" s="104">
        <f>SUM(G468)</f>
        <v>156720.07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90456.34</v>
      </c>
      <c r="H631" s="104">
        <f>SUM(J468)</f>
        <v>90456.34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11051014.710000001</v>
      </c>
      <c r="H632" s="104">
        <f>SUM(F472)</f>
        <v>11051014.710000001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53573.05</v>
      </c>
      <c r="H634" s="104">
        <f>I369</f>
        <v>53573.05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156722.28</v>
      </c>
      <c r="H635" s="104">
        <f>SUM(G472)</f>
        <v>156722.28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90456.34</v>
      </c>
      <c r="H637" s="164">
        <f>SUM(J468)</f>
        <v>90456.34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21198</v>
      </c>
      <c r="H638" s="164">
        <f>SUM(J472)</f>
        <v>21198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244710.15</v>
      </c>
      <c r="H639" s="104">
        <f>SUM(F461)</f>
        <v>244710.15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244710.15</v>
      </c>
      <c r="H642" s="104">
        <f>SUM(I461)</f>
        <v>244710.15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456.34</v>
      </c>
      <c r="H644" s="104">
        <f>H408</f>
        <v>456.34000000000003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90000</v>
      </c>
      <c r="H645" s="104">
        <f>G408</f>
        <v>90000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90456.34</v>
      </c>
      <c r="H646" s="104">
        <f>L408</f>
        <v>90456.34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683429.11999999988</v>
      </c>
      <c r="H647" s="104">
        <f>L208+L226+L244</f>
        <v>683429.12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95847.57</v>
      </c>
      <c r="H648" s="104">
        <f>(J257+J338)-(J255+J336)</f>
        <v>95847.57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460385.66</v>
      </c>
      <c r="H649" s="104">
        <f>H598</f>
        <v>460385.66000000003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223043.46</v>
      </c>
      <c r="H651" s="104">
        <f>J598</f>
        <v>223043.46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29817.16</v>
      </c>
      <c r="H652" s="104">
        <f>K263+K345</f>
        <v>29817.16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90000</v>
      </c>
      <c r="H655" s="104">
        <f>K266+K347</f>
        <v>90000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7617286.7300000014</v>
      </c>
      <c r="G660" s="19">
        <f>(L229+L309+L359)</f>
        <v>0</v>
      </c>
      <c r="H660" s="19">
        <f>(L247+L328+L360)</f>
        <v>3460093.1000000006</v>
      </c>
      <c r="I660" s="19">
        <f>SUM(F660:H660)</f>
        <v>11077379.830000002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88829.88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88829.88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460385.66</v>
      </c>
      <c r="G662" s="19">
        <f>(L226+L306)-(J226+J306)</f>
        <v>0</v>
      </c>
      <c r="H662" s="19">
        <f>(L244+L325)-(J244+J325)</f>
        <v>223043.46</v>
      </c>
      <c r="I662" s="19">
        <f>SUM(F662:H662)</f>
        <v>683429.12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383364.10000000003</v>
      </c>
      <c r="G663" s="199">
        <f>SUM(G575:G587)+SUM(I602:I604)+L612</f>
        <v>0</v>
      </c>
      <c r="H663" s="199">
        <f>SUM(H575:H587)+SUM(J602:J604)+L613</f>
        <v>3097470.0900000003</v>
      </c>
      <c r="I663" s="19">
        <f>SUM(F663:H663)</f>
        <v>3480834.1900000004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6684707.0900000017</v>
      </c>
      <c r="G664" s="19">
        <f>G660-SUM(G661:G663)</f>
        <v>0</v>
      </c>
      <c r="H664" s="19">
        <f>H660-SUM(H661:H663)</f>
        <v>139579.55000000028</v>
      </c>
      <c r="I664" s="19">
        <f>I660-SUM(I661:I663)</f>
        <v>6824286.6400000015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507.11</v>
      </c>
      <c r="G665" s="248"/>
      <c r="H665" s="248"/>
      <c r="I665" s="19">
        <f>SUM(F665:H665)</f>
        <v>507.11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13181.97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13457.21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-139579.53</v>
      </c>
      <c r="I669" s="19">
        <f>SUM(F669:H669)</f>
        <v>-139579.53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13181.97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13181.97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6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Nottingham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2122348.9500000002</v>
      </c>
      <c r="C9" s="229">
        <f>'DOE25'!G197+'DOE25'!G215+'DOE25'!G233+'DOE25'!G276+'DOE25'!G295+'DOE25'!G314</f>
        <v>1011802.41</v>
      </c>
    </row>
    <row r="10" spans="1:3" x14ac:dyDescent="0.2">
      <c r="A10" t="s">
        <v>778</v>
      </c>
      <c r="B10" s="240">
        <v>2027404.14</v>
      </c>
      <c r="C10" s="240">
        <f>957688.93+33929.77</f>
        <v>991618.70000000007</v>
      </c>
    </row>
    <row r="11" spans="1:3" x14ac:dyDescent="0.2">
      <c r="A11" t="s">
        <v>779</v>
      </c>
      <c r="B11" s="240">
        <v>8351.98</v>
      </c>
      <c r="C11" s="240">
        <v>1657.38</v>
      </c>
    </row>
    <row r="12" spans="1:3" x14ac:dyDescent="0.2">
      <c r="A12" t="s">
        <v>780</v>
      </c>
      <c r="B12" s="240">
        <v>86592.83</v>
      </c>
      <c r="C12" s="240">
        <f>52456.1-33929.77</f>
        <v>18526.330000000002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2122348.9499999997</v>
      </c>
      <c r="C13" s="231">
        <f>SUM(C10:C12)</f>
        <v>1011802.41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804953.05</v>
      </c>
      <c r="C18" s="229">
        <f>'DOE25'!G198+'DOE25'!G216+'DOE25'!G234+'DOE25'!G277+'DOE25'!G296+'DOE25'!G315</f>
        <v>254135.18</v>
      </c>
    </row>
    <row r="19" spans="1:3" x14ac:dyDescent="0.2">
      <c r="A19" t="s">
        <v>778</v>
      </c>
      <c r="B19" s="240">
        <v>284708.98</v>
      </c>
      <c r="C19" s="240">
        <v>109651.57</v>
      </c>
    </row>
    <row r="20" spans="1:3" x14ac:dyDescent="0.2">
      <c r="A20" t="s">
        <v>779</v>
      </c>
      <c r="B20" s="240">
        <v>402536.05</v>
      </c>
      <c r="C20" s="240">
        <v>133016.57</v>
      </c>
    </row>
    <row r="21" spans="1:3" x14ac:dyDescent="0.2">
      <c r="A21" t="s">
        <v>780</v>
      </c>
      <c r="B21" s="240">
        <v>117708.02</v>
      </c>
      <c r="C21" s="240">
        <v>11467.04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804953.05</v>
      </c>
      <c r="C22" s="231">
        <f>SUM(C19:C21)</f>
        <v>254135.18000000002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>
        <v>0</v>
      </c>
      <c r="C28" s="240">
        <v>0</v>
      </c>
    </row>
    <row r="29" spans="1:3" x14ac:dyDescent="0.2">
      <c r="A29" t="s">
        <v>779</v>
      </c>
      <c r="B29" s="240">
        <v>0</v>
      </c>
      <c r="C29" s="240">
        <v>0</v>
      </c>
    </row>
    <row r="30" spans="1:3" x14ac:dyDescent="0.2">
      <c r="A30" t="s">
        <v>780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30000</v>
      </c>
      <c r="C36" s="235">
        <f>'DOE25'!G200+'DOE25'!G218+'DOE25'!G236+'DOE25'!G279+'DOE25'!G298+'DOE25'!G317</f>
        <v>4606.34</v>
      </c>
    </row>
    <row r="37" spans="1:3" x14ac:dyDescent="0.2">
      <c r="A37" t="s">
        <v>778</v>
      </c>
      <c r="B37" s="240">
        <v>14750</v>
      </c>
      <c r="C37" s="240">
        <v>3439.71</v>
      </c>
    </row>
    <row r="38" spans="1:3" x14ac:dyDescent="0.2">
      <c r="A38" t="s">
        <v>779</v>
      </c>
      <c r="B38" s="240">
        <v>5000</v>
      </c>
      <c r="C38" s="240">
        <v>382.5</v>
      </c>
    </row>
    <row r="39" spans="1:3" x14ac:dyDescent="0.2">
      <c r="A39" t="s">
        <v>780</v>
      </c>
      <c r="B39" s="240">
        <v>10250</v>
      </c>
      <c r="C39" s="240">
        <v>784.13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30000</v>
      </c>
      <c r="C40" s="231">
        <f>SUM(C37:C39)</f>
        <v>4606.34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Nottingham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7738407.2000000002</v>
      </c>
      <c r="D5" s="20">
        <f>SUM('DOE25'!L197:L200)+SUM('DOE25'!L215:L218)+SUM('DOE25'!L233:L236)-F5-G5</f>
        <v>7727244.4299999997</v>
      </c>
      <c r="E5" s="243"/>
      <c r="F5" s="255">
        <f>SUM('DOE25'!J197:J200)+SUM('DOE25'!J215:J218)+SUM('DOE25'!J233:J236)</f>
        <v>3111.87</v>
      </c>
      <c r="G5" s="53">
        <f>SUM('DOE25'!K197:K200)+SUM('DOE25'!K215:K218)+SUM('DOE25'!K233:K236)</f>
        <v>8050.9</v>
      </c>
      <c r="H5" s="259"/>
    </row>
    <row r="6" spans="1:9" x14ac:dyDescent="0.2">
      <c r="A6" s="32">
        <v>2100</v>
      </c>
      <c r="B6" t="s">
        <v>800</v>
      </c>
      <c r="C6" s="245">
        <f t="shared" si="0"/>
        <v>639562.53</v>
      </c>
      <c r="D6" s="20">
        <f>'DOE25'!L202+'DOE25'!L220+'DOE25'!L238-F6-G6</f>
        <v>639562.53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444422.41000000003</v>
      </c>
      <c r="D7" s="20">
        <f>'DOE25'!L203+'DOE25'!L221+'DOE25'!L239-F7-G7</f>
        <v>404582.61000000004</v>
      </c>
      <c r="E7" s="243"/>
      <c r="F7" s="255">
        <f>'DOE25'!J203+'DOE25'!J221+'DOE25'!J239</f>
        <v>39264.800000000003</v>
      </c>
      <c r="G7" s="53">
        <f>'DOE25'!K203+'DOE25'!K221+'DOE25'!K239</f>
        <v>575</v>
      </c>
      <c r="H7" s="259"/>
    </row>
    <row r="8" spans="1:9" x14ac:dyDescent="0.2">
      <c r="A8" s="32">
        <v>2300</v>
      </c>
      <c r="B8" t="s">
        <v>801</v>
      </c>
      <c r="C8" s="245">
        <f t="shared" si="0"/>
        <v>337980.52</v>
      </c>
      <c r="D8" s="243"/>
      <c r="E8" s="20">
        <f>'DOE25'!L204+'DOE25'!L222+'DOE25'!L240-F8-G8-D9-D11</f>
        <v>334413.7</v>
      </c>
      <c r="F8" s="255">
        <f>'DOE25'!J204+'DOE25'!J222+'DOE25'!J240</f>
        <v>0</v>
      </c>
      <c r="G8" s="53">
        <f>'DOE25'!K204+'DOE25'!K222+'DOE25'!K240</f>
        <v>3566.82</v>
      </c>
      <c r="H8" s="259"/>
    </row>
    <row r="9" spans="1:9" x14ac:dyDescent="0.2">
      <c r="A9" s="32">
        <v>2310</v>
      </c>
      <c r="B9" t="s">
        <v>817</v>
      </c>
      <c r="C9" s="245">
        <f t="shared" si="0"/>
        <v>37263.589999999997</v>
      </c>
      <c r="D9" s="244">
        <f>46763.59-9500</f>
        <v>37263.589999999997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9500</v>
      </c>
      <c r="D10" s="243"/>
      <c r="E10" s="244">
        <v>9500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114564.71</v>
      </c>
      <c r="D11" s="244">
        <v>114564.71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358839.19</v>
      </c>
      <c r="D12" s="20">
        <f>'DOE25'!L205+'DOE25'!L223+'DOE25'!L241-F12-G12</f>
        <v>356609.72000000003</v>
      </c>
      <c r="E12" s="243"/>
      <c r="F12" s="255">
        <f>'DOE25'!J205+'DOE25'!J223+'DOE25'!J241</f>
        <v>729.47</v>
      </c>
      <c r="G12" s="53">
        <f>'DOE25'!K205+'DOE25'!K223+'DOE25'!K241</f>
        <v>1500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566188.28</v>
      </c>
      <c r="D14" s="20">
        <f>'DOE25'!L207+'DOE25'!L225+'DOE25'!L243-F14-G14</f>
        <v>513446.85000000003</v>
      </c>
      <c r="E14" s="243"/>
      <c r="F14" s="255">
        <f>'DOE25'!J207+'DOE25'!J225+'DOE25'!J243</f>
        <v>52741.43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683429.12</v>
      </c>
      <c r="D15" s="20">
        <f>'DOE25'!L208+'DOE25'!L226+'DOE25'!L244-F15-G15</f>
        <v>683429.12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105909.7</v>
      </c>
      <c r="D29" s="20">
        <f>'DOE25'!L358+'DOE25'!L359+'DOE25'!L360-'DOE25'!I367-F29-G29</f>
        <v>105909.7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10582613.26</v>
      </c>
      <c r="E33" s="246">
        <f>SUM(E5:E31)</f>
        <v>343913.7</v>
      </c>
      <c r="F33" s="246">
        <f>SUM(F5:F31)</f>
        <v>95847.57</v>
      </c>
      <c r="G33" s="246">
        <f>SUM(G5:G31)</f>
        <v>13692.72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343913.7</v>
      </c>
      <c r="E35" s="249"/>
    </row>
    <row r="36" spans="2:8" ht="12" thickTop="1" x14ac:dyDescent="0.2">
      <c r="B36" t="s">
        <v>814</v>
      </c>
      <c r="D36" s="20">
        <f>D33</f>
        <v>10582613.26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Nottingham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724880.96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244710.15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21198</v>
      </c>
      <c r="D11" s="95">
        <f>'DOE25'!G12</f>
        <v>3413.06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5674.9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12679.99</v>
      </c>
      <c r="D13" s="95">
        <f>'DOE25'!G14</f>
        <v>703.07000000000016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3201.09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2633.98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767067.83</v>
      </c>
      <c r="D18" s="41">
        <f>SUM(D8:D17)</f>
        <v>7317.22</v>
      </c>
      <c r="E18" s="41">
        <f>SUM(E8:E17)</f>
        <v>0</v>
      </c>
      <c r="F18" s="41">
        <f>SUM(F8:F17)</f>
        <v>0</v>
      </c>
      <c r="G18" s="41">
        <f>SUM(G8:G17)</f>
        <v>244710.15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3413.06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21198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54868.19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165814.91999999998</v>
      </c>
      <c r="D23" s="95">
        <f>'DOE25'!G24</f>
        <v>4010.26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72791.59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105.87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296887.76</v>
      </c>
      <c r="D31" s="41">
        <f>SUM(D21:D30)</f>
        <v>4116.13</v>
      </c>
      <c r="E31" s="41">
        <f>SUM(E21:E30)</f>
        <v>0</v>
      </c>
      <c r="F31" s="41">
        <f>SUM(F21:F30)</f>
        <v>0</v>
      </c>
      <c r="G31" s="41">
        <f>SUM(G21:G30)</f>
        <v>21198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3201.09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70000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60000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223512.15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340180.07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470180.07</v>
      </c>
      <c r="D50" s="41">
        <f>SUM(D34:D49)</f>
        <v>3201.09</v>
      </c>
      <c r="E50" s="41">
        <f>SUM(E34:E49)</f>
        <v>0</v>
      </c>
      <c r="F50" s="41">
        <f>SUM(F34:F49)</f>
        <v>0</v>
      </c>
      <c r="G50" s="41">
        <f>SUM(G34:G49)</f>
        <v>223512.15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767067.83000000007</v>
      </c>
      <c r="D51" s="41">
        <f>D50+D31</f>
        <v>7317.22</v>
      </c>
      <c r="E51" s="41">
        <f>E50+E31</f>
        <v>0</v>
      </c>
      <c r="F51" s="41">
        <f>F50+F31</f>
        <v>0</v>
      </c>
      <c r="G51" s="41">
        <f>G50+G31</f>
        <v>244710.15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7929540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7815.04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160.94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456.34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88829.88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1316.33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9292.31</v>
      </c>
      <c r="D62" s="130">
        <f>SUM(D57:D61)</f>
        <v>88829.88</v>
      </c>
      <c r="E62" s="130">
        <f>SUM(E57:E61)</f>
        <v>0</v>
      </c>
      <c r="F62" s="130">
        <f>SUM(F57:F61)</f>
        <v>0</v>
      </c>
      <c r="G62" s="130">
        <f>SUM(G57:G61)</f>
        <v>456.34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7938832.3099999996</v>
      </c>
      <c r="D63" s="22">
        <f>D56+D62</f>
        <v>88829.88</v>
      </c>
      <c r="E63" s="22">
        <f>E56+E62</f>
        <v>0</v>
      </c>
      <c r="F63" s="22">
        <f>F56+F62</f>
        <v>0</v>
      </c>
      <c r="G63" s="22">
        <f>G56+G62</f>
        <v>456.34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1481655.55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1309388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49371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2840414.55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29809.29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2279.5500000000002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29809.29</v>
      </c>
      <c r="D78" s="130">
        <f>SUM(D72:D77)</f>
        <v>2279.5500000000002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2870223.84</v>
      </c>
      <c r="D81" s="130">
        <f>SUM(D79:D80)+D78+D70</f>
        <v>2279.5500000000002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73101.64</v>
      </c>
      <c r="D88" s="95">
        <f>SUM('DOE25'!G153:G161)</f>
        <v>35793.480000000003</v>
      </c>
      <c r="E88" s="95">
        <f>SUM('DOE25'!H153:H161)</f>
        <v>0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73101.64</v>
      </c>
      <c r="D91" s="131">
        <f>SUM(D85:D90)</f>
        <v>35793.480000000003</v>
      </c>
      <c r="E91" s="131">
        <f>SUM(E85:E90)</f>
        <v>0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29817.16</v>
      </c>
      <c r="E96" s="95">
        <f>'DOE25'!H179</f>
        <v>0</v>
      </c>
      <c r="F96" s="95">
        <f>'DOE25'!I179</f>
        <v>0</v>
      </c>
      <c r="G96" s="95">
        <f>'DOE25'!J179</f>
        <v>90000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29817.16</v>
      </c>
      <c r="E103" s="86">
        <f>SUM(E93:E102)</f>
        <v>0</v>
      </c>
      <c r="F103" s="86">
        <f>SUM(F93:F102)</f>
        <v>0</v>
      </c>
      <c r="G103" s="86">
        <f>SUM(G93:G102)</f>
        <v>90000</v>
      </c>
    </row>
    <row r="104" spans="1:7" ht="12.75" thickTop="1" thickBot="1" x14ac:dyDescent="0.25">
      <c r="A104" s="33" t="s">
        <v>764</v>
      </c>
      <c r="C104" s="86">
        <f>C63+C81+C91+C103</f>
        <v>10882157.789999999</v>
      </c>
      <c r="D104" s="86">
        <f>D63+D81+D91+D103</f>
        <v>156720.07</v>
      </c>
      <c r="E104" s="86">
        <f>E63+E81+E91+E103</f>
        <v>0</v>
      </c>
      <c r="F104" s="86">
        <f>F63+F81+F91+F103</f>
        <v>0</v>
      </c>
      <c r="G104" s="86">
        <f>G63+G81+G103</f>
        <v>90456.34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6021064.6500000004</v>
      </c>
      <c r="D109" s="24" t="s">
        <v>288</v>
      </c>
      <c r="E109" s="95">
        <f>('DOE25'!L276)+('DOE25'!L295)+('DOE25'!L314)</f>
        <v>0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1673573.6300000001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43768.92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7738407.2000000002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639562.53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444422.41000000003</v>
      </c>
      <c r="D119" s="24" t="s">
        <v>288</v>
      </c>
      <c r="E119" s="95">
        <f>+('DOE25'!L282)+('DOE25'!L301)+('DOE25'!L320)</f>
        <v>0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489808.82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358839.19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566188.28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683429.12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156722.28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3182250.35</v>
      </c>
      <c r="D128" s="86">
        <f>SUM(D118:D127)</f>
        <v>156722.28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29817.16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90456.34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-456.33999999999651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10540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130357.16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11051014.710000001</v>
      </c>
      <c r="D145" s="86">
        <f>(D115+D128+D144)</f>
        <v>156722.28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sqref="A1:D1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Nottingham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13182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13182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6021065</v>
      </c>
      <c r="D10" s="182">
        <f>ROUND((C10/$C$28)*100,1)</f>
        <v>54.7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1673574</v>
      </c>
      <c r="D11" s="182">
        <f>ROUND((C11/$C$28)*100,1)</f>
        <v>15.2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43769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639563</v>
      </c>
      <c r="D15" s="182">
        <f t="shared" ref="D15:D27" si="0">ROUND((C15/$C$28)*100,1)</f>
        <v>5.8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444422</v>
      </c>
      <c r="D16" s="182">
        <f t="shared" si="0"/>
        <v>4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489809</v>
      </c>
      <c r="D17" s="182">
        <f t="shared" si="0"/>
        <v>4.5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358839</v>
      </c>
      <c r="D18" s="182">
        <f t="shared" si="0"/>
        <v>3.3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566188</v>
      </c>
      <c r="D20" s="182">
        <f t="shared" si="0"/>
        <v>5.0999999999999996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683429</v>
      </c>
      <c r="D21" s="182">
        <f t="shared" si="0"/>
        <v>6.2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10540</v>
      </c>
      <c r="D26" s="182">
        <f t="shared" si="0"/>
        <v>0.1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67892.12</v>
      </c>
      <c r="D27" s="182">
        <f t="shared" si="0"/>
        <v>0.6</v>
      </c>
    </row>
    <row r="28" spans="1:4" x14ac:dyDescent="0.2">
      <c r="B28" s="187" t="s">
        <v>722</v>
      </c>
      <c r="C28" s="180">
        <f>SUM(C10:C27)</f>
        <v>10999090.119999999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10999090.119999999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7929540</v>
      </c>
      <c r="D35" s="182">
        <f t="shared" ref="D35:D40" si="1">ROUND((C35/$C$41)*100,1)</f>
        <v>72.599999999999994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9748.6499999994412</v>
      </c>
      <c r="D36" s="182">
        <f t="shared" si="1"/>
        <v>0.1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2791044</v>
      </c>
      <c r="D37" s="182">
        <f t="shared" si="1"/>
        <v>25.6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81460</v>
      </c>
      <c r="D38" s="182">
        <f t="shared" si="1"/>
        <v>0.7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108895</v>
      </c>
      <c r="D39" s="182">
        <f t="shared" si="1"/>
        <v>1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10920687.649999999</v>
      </c>
      <c r="D41" s="184">
        <f>SUM(D35:D40)</f>
        <v>99.999999999999986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Nottingham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2017-08-16T17:44:19Z</cp:lastPrinted>
  <dcterms:created xsi:type="dcterms:W3CDTF">1997-12-04T19:04:30Z</dcterms:created>
  <dcterms:modified xsi:type="dcterms:W3CDTF">2017-11-29T17:58:55Z</dcterms:modified>
</cp:coreProperties>
</file>