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B37" i="12"/>
  <c r="B19" i="12"/>
  <c r="C20" i="12"/>
  <c r="F29" i="1" l="1"/>
  <c r="J591" i="1"/>
  <c r="I591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D7" i="13" s="1"/>
  <c r="C7" i="13" s="1"/>
  <c r="G7" i="13"/>
  <c r="L203" i="1"/>
  <c r="L221" i="1"/>
  <c r="L239" i="1"/>
  <c r="F12" i="13"/>
  <c r="D12" i="13" s="1"/>
  <c r="C12" i="13" s="1"/>
  <c r="G12" i="13"/>
  <c r="L205" i="1"/>
  <c r="L223" i="1"/>
  <c r="L241" i="1"/>
  <c r="C121" i="2" s="1"/>
  <c r="F14" i="13"/>
  <c r="G14" i="13"/>
  <c r="L207" i="1"/>
  <c r="L225" i="1"/>
  <c r="L229" i="1" s="1"/>
  <c r="L243" i="1"/>
  <c r="F15" i="13"/>
  <c r="G15" i="13"/>
  <c r="D15" i="13" s="1"/>
  <c r="C15" i="13" s="1"/>
  <c r="L208" i="1"/>
  <c r="C21" i="10" s="1"/>
  <c r="L226" i="1"/>
  <c r="G662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C11" i="10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C58" i="2" s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L250" i="1"/>
  <c r="L332" i="1"/>
  <c r="L254" i="1"/>
  <c r="L268" i="1"/>
  <c r="L269" i="1"/>
  <c r="L349" i="1"/>
  <c r="L350" i="1"/>
  <c r="I665" i="1"/>
  <c r="I670" i="1"/>
  <c r="F662" i="1"/>
  <c r="H662" i="1"/>
  <c r="I669" i="1"/>
  <c r="C42" i="10"/>
  <c r="L374" i="1"/>
  <c r="L375" i="1"/>
  <c r="C29" i="10" s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K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C111" i="2"/>
  <c r="E111" i="2"/>
  <c r="C112" i="2"/>
  <c r="C113" i="2"/>
  <c r="E113" i="2"/>
  <c r="C114" i="2"/>
  <c r="E114" i="2"/>
  <c r="D115" i="2"/>
  <c r="F115" i="2"/>
  <c r="G115" i="2"/>
  <c r="E118" i="2"/>
  <c r="C119" i="2"/>
  <c r="E119" i="2"/>
  <c r="E120" i="2"/>
  <c r="E121" i="2"/>
  <c r="E122" i="2"/>
  <c r="E123" i="2"/>
  <c r="C124" i="2"/>
  <c r="E124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H338" i="1" s="1"/>
  <c r="H352" i="1" s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I446" i="1"/>
  <c r="G642" i="1" s="1"/>
  <c r="F452" i="1"/>
  <c r="G452" i="1"/>
  <c r="H452" i="1"/>
  <c r="I452" i="1"/>
  <c r="F460" i="1"/>
  <c r="F461" i="1" s="1"/>
  <c r="H639" i="1" s="1"/>
  <c r="G460" i="1"/>
  <c r="H460" i="1"/>
  <c r="H461" i="1"/>
  <c r="F470" i="1"/>
  <c r="G470" i="1"/>
  <c r="H470" i="1"/>
  <c r="H476" i="1" s="1"/>
  <c r="H624" i="1" s="1"/>
  <c r="I470" i="1"/>
  <c r="J470" i="1"/>
  <c r="F474" i="1"/>
  <c r="G474" i="1"/>
  <c r="G476" i="1" s="1"/>
  <c r="H623" i="1" s="1"/>
  <c r="J623" i="1" s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G545" i="1" s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H545" i="1" s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41" i="1"/>
  <c r="H641" i="1"/>
  <c r="G643" i="1"/>
  <c r="H643" i="1"/>
  <c r="G644" i="1"/>
  <c r="H645" i="1"/>
  <c r="H647" i="1"/>
  <c r="G650" i="1"/>
  <c r="G651" i="1"/>
  <c r="G652" i="1"/>
  <c r="H652" i="1"/>
  <c r="G653" i="1"/>
  <c r="H653" i="1"/>
  <c r="G654" i="1"/>
  <c r="H654" i="1"/>
  <c r="H655" i="1"/>
  <c r="F192" i="1"/>
  <c r="L256" i="1"/>
  <c r="C26" i="10"/>
  <c r="L328" i="1"/>
  <c r="L351" i="1"/>
  <c r="A31" i="12"/>
  <c r="C70" i="2"/>
  <c r="D62" i="2"/>
  <c r="D18" i="13"/>
  <c r="C18" i="13" s="1"/>
  <c r="D18" i="2"/>
  <c r="D17" i="13"/>
  <c r="C17" i="13" s="1"/>
  <c r="C91" i="2"/>
  <c r="F78" i="2"/>
  <c r="F81" i="2" s="1"/>
  <c r="D31" i="2"/>
  <c r="C78" i="2"/>
  <c r="D50" i="2"/>
  <c r="G157" i="2"/>
  <c r="F18" i="2"/>
  <c r="E103" i="2"/>
  <c r="D91" i="2"/>
  <c r="E62" i="2"/>
  <c r="E63" i="2" s="1"/>
  <c r="E31" i="2"/>
  <c r="G62" i="2"/>
  <c r="D19" i="13"/>
  <c r="C19" i="13" s="1"/>
  <c r="E78" i="2"/>
  <c r="E81" i="2" s="1"/>
  <c r="H112" i="1"/>
  <c r="J641" i="1"/>
  <c r="K605" i="1"/>
  <c r="G648" i="1" s="1"/>
  <c r="J571" i="1"/>
  <c r="K571" i="1"/>
  <c r="L433" i="1"/>
  <c r="L419" i="1"/>
  <c r="D81" i="2"/>
  <c r="I169" i="1"/>
  <c r="G552" i="1"/>
  <c r="J643" i="1"/>
  <c r="J476" i="1"/>
  <c r="H626" i="1" s="1"/>
  <c r="F169" i="1"/>
  <c r="J140" i="1"/>
  <c r="I552" i="1"/>
  <c r="G22" i="2"/>
  <c r="K545" i="1"/>
  <c r="H140" i="1"/>
  <c r="L393" i="1"/>
  <c r="A13" i="12"/>
  <c r="F22" i="13"/>
  <c r="C22" i="13" s="1"/>
  <c r="L560" i="1"/>
  <c r="F338" i="1"/>
  <c r="F352" i="1" s="1"/>
  <c r="G192" i="1"/>
  <c r="H192" i="1"/>
  <c r="J655" i="1"/>
  <c r="L570" i="1"/>
  <c r="I571" i="1"/>
  <c r="G36" i="2"/>
  <c r="C138" i="2"/>
  <c r="A40" i="12" l="1"/>
  <c r="L614" i="1"/>
  <c r="J644" i="1"/>
  <c r="G645" i="1"/>
  <c r="J645" i="1" s="1"/>
  <c r="L565" i="1"/>
  <c r="K551" i="1"/>
  <c r="K549" i="1"/>
  <c r="L534" i="1"/>
  <c r="J545" i="1"/>
  <c r="I545" i="1"/>
  <c r="L529" i="1"/>
  <c r="L524" i="1"/>
  <c r="G161" i="2"/>
  <c r="K500" i="1"/>
  <c r="G164" i="2"/>
  <c r="K503" i="1"/>
  <c r="F476" i="1"/>
  <c r="H622" i="1" s="1"/>
  <c r="J622" i="1" s="1"/>
  <c r="J639" i="1"/>
  <c r="L427" i="1"/>
  <c r="L434" i="1" s="1"/>
  <c r="G638" i="1" s="1"/>
  <c r="J638" i="1" s="1"/>
  <c r="L401" i="1"/>
  <c r="C139" i="2" s="1"/>
  <c r="I408" i="1"/>
  <c r="G461" i="1"/>
  <c r="H640" i="1" s="1"/>
  <c r="J640" i="1" s="1"/>
  <c r="I460" i="1"/>
  <c r="I461" i="1" s="1"/>
  <c r="H642" i="1" s="1"/>
  <c r="J642" i="1" s="1"/>
  <c r="L382" i="1"/>
  <c r="G636" i="1" s="1"/>
  <c r="J636" i="1" s="1"/>
  <c r="D6" i="13"/>
  <c r="C6" i="13" s="1"/>
  <c r="L309" i="1"/>
  <c r="J338" i="1"/>
  <c r="J352" i="1" s="1"/>
  <c r="E125" i="2"/>
  <c r="E128" i="2" s="1"/>
  <c r="C13" i="10"/>
  <c r="G338" i="1"/>
  <c r="G352" i="1" s="1"/>
  <c r="C16" i="10"/>
  <c r="E112" i="2"/>
  <c r="L290" i="1"/>
  <c r="L338" i="1" s="1"/>
  <c r="L352" i="1" s="1"/>
  <c r="G633" i="1" s="1"/>
  <c r="J633" i="1" s="1"/>
  <c r="E109" i="2"/>
  <c r="E115" i="2" s="1"/>
  <c r="J624" i="1"/>
  <c r="H52" i="1"/>
  <c r="H619" i="1" s="1"/>
  <c r="J634" i="1"/>
  <c r="G661" i="1"/>
  <c r="L362" i="1"/>
  <c r="H661" i="1"/>
  <c r="D29" i="13"/>
  <c r="C29" i="13" s="1"/>
  <c r="F661" i="1"/>
  <c r="D127" i="2"/>
  <c r="D128" i="2" s="1"/>
  <c r="D145" i="2" s="1"/>
  <c r="C132" i="2"/>
  <c r="H25" i="13"/>
  <c r="C25" i="13" s="1"/>
  <c r="C32" i="10"/>
  <c r="I662" i="1"/>
  <c r="J647" i="1"/>
  <c r="G649" i="1"/>
  <c r="J649" i="1" s="1"/>
  <c r="D14" i="13"/>
  <c r="C14" i="13" s="1"/>
  <c r="C123" i="2"/>
  <c r="C20" i="10"/>
  <c r="E13" i="13"/>
  <c r="C13" i="13" s="1"/>
  <c r="C19" i="10"/>
  <c r="C18" i="10"/>
  <c r="C120" i="2"/>
  <c r="L247" i="1"/>
  <c r="H660" i="1" s="1"/>
  <c r="I257" i="1"/>
  <c r="I271" i="1" s="1"/>
  <c r="C17" i="10"/>
  <c r="E8" i="13"/>
  <c r="C8" i="13" s="1"/>
  <c r="C128" i="2"/>
  <c r="G257" i="1"/>
  <c r="G271" i="1" s="1"/>
  <c r="L211" i="1"/>
  <c r="C15" i="10"/>
  <c r="K257" i="1"/>
  <c r="K271" i="1" s="1"/>
  <c r="J257" i="1"/>
  <c r="J271" i="1" s="1"/>
  <c r="F257" i="1"/>
  <c r="F271" i="1" s="1"/>
  <c r="D5" i="13"/>
  <c r="C5" i="13" s="1"/>
  <c r="C115" i="2"/>
  <c r="H257" i="1"/>
  <c r="H271" i="1" s="1"/>
  <c r="C81" i="2"/>
  <c r="C35" i="10"/>
  <c r="F112" i="1"/>
  <c r="J617" i="1"/>
  <c r="C18" i="2"/>
  <c r="D63" i="2"/>
  <c r="C16" i="13"/>
  <c r="G81" i="2"/>
  <c r="C62" i="2"/>
  <c r="C63" i="2" s="1"/>
  <c r="G11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J652" i="1"/>
  <c r="G571" i="1"/>
  <c r="I434" i="1"/>
  <c r="G434" i="1"/>
  <c r="I663" i="1"/>
  <c r="C27" i="10"/>
  <c r="G635" i="1"/>
  <c r="J635" i="1" s="1"/>
  <c r="G104" i="2" l="1"/>
  <c r="K552" i="1"/>
  <c r="L545" i="1"/>
  <c r="L408" i="1"/>
  <c r="C141" i="2"/>
  <c r="C144" i="2" s="1"/>
  <c r="C145" i="2" s="1"/>
  <c r="G51" i="2"/>
  <c r="F104" i="2"/>
  <c r="E145" i="2"/>
  <c r="H664" i="1"/>
  <c r="H672" i="1" s="1"/>
  <c r="C6" i="10" s="1"/>
  <c r="I661" i="1"/>
  <c r="H33" i="13"/>
  <c r="L257" i="1"/>
  <c r="L271" i="1" s="1"/>
  <c r="G632" i="1" s="1"/>
  <c r="J632" i="1" s="1"/>
  <c r="C28" i="10"/>
  <c r="D22" i="10" s="1"/>
  <c r="F660" i="1"/>
  <c r="F664" i="1" s="1"/>
  <c r="F672" i="1" s="1"/>
  <c r="C4" i="10" s="1"/>
  <c r="E33" i="13"/>
  <c r="D35" i="13" s="1"/>
  <c r="H648" i="1"/>
  <c r="J648" i="1" s="1"/>
  <c r="G667" i="1"/>
  <c r="C104" i="2"/>
  <c r="F193" i="1"/>
  <c r="G627" i="1" s="1"/>
  <c r="J627" i="1" s="1"/>
  <c r="C36" i="10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H667" i="1"/>
  <c r="D10" i="10"/>
  <c r="D13" i="10"/>
  <c r="C30" i="10"/>
  <c r="D11" i="10"/>
  <c r="D18" i="10"/>
  <c r="D21" i="10"/>
  <c r="D27" i="10"/>
  <c r="D26" i="10"/>
  <c r="D12" i="10"/>
  <c r="D17" i="10"/>
  <c r="D16" i="10"/>
  <c r="D24" i="10"/>
  <c r="D20" i="10"/>
  <c r="D15" i="10"/>
  <c r="D25" i="10"/>
  <c r="D19" i="10"/>
  <c r="D23" i="10"/>
  <c r="I660" i="1"/>
  <c r="I664" i="1" s="1"/>
  <c r="I672" i="1" s="1"/>
  <c r="C7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<sst xmlns="http://schemas.openxmlformats.org/spreadsheetml/2006/main" count="3961" uniqueCount="919">
  <si>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</si>
  <si>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</si>
  <si>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</si>
  <si>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</si>
  <si>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</si>
  <si>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</si>
  <si>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</si>
  <si>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</si>
  <si>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</si>
  <si>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</si>
  <si>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</si>
  <si>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</si>
  <si>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</si>
  <si>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</si>
  <si>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</si>
  <si>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</si>
  <si>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</si>
  <si>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</si>
  <si>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</si>
  <si>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</si>
  <si>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</si>
  <si>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</si>
  <si>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</si>
  <si>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</si>
  <si>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</si>
  <si>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</si>
  <si>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</si>
  <si>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</si>
  <si>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</si>
  <si>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</si>
  <si>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</si>
  <si>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</si>
  <si>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</si>
  <si>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</si>
  <si>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</si>
  <si>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</si>
  <si>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</si>
  <si>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</si>
  <si>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</si>
  <si>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</si>
  <si>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</si>
  <si>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</si>
  <si>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</si>
  <si>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</si>
  <si>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</si>
  <si>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</si>
  <si>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</si>
  <si>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</si>
  <si>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</si>
  <si>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</si>
  <si>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</si>
  <si>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</si>
  <si>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</si>
  <si>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</si>
  <si>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</si>
  <si>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</si>
  <si>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</si>
  <si>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</si>
  <si>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</si>
  <si>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</si>
  <si>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</si>
  <si>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</si>
  <si>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</si>
  <si>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</si>
  <si>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</si>
  <si>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</si>
  <si>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</si>
  <si>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</si>
  <si>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</si>
  <si>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</si>
  <si>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</si>
  <si>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</si>
  <si>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</si>
  <si>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</si>
  <si>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</si>
  <si>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</si>
  <si>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</si>
  <si>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</si>
  <si>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</si>
  <si>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</si>
  <si>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</si>
  <si>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</si>
  <si>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</si>
  <si>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</si>
  <si>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</si>
  <si>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</si>
  <si>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</si>
  <si>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</si>
  <si>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</si>
  <si>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</si>
  <si>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</si>
  <si>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</si>
  <si>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</si>
  <si>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</si>
  <si>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</si>
  <si>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</si>
  <si>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</si>
  <si>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</si>
  <si>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</si>
  <si>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</si>
  <si>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</si>
  <si>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</si>
  <si>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</si>
  <si>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</si>
  <si>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</si>
  <si>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</si>
  <si>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</si>
  <si>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</si>
  <si>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</si>
  <si>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</si>
  <si>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</si>
  <si>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</si>
  <si>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</si>
  <si>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</si>
  <si>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</si>
  <si>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</si>
  <si>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</si>
  <si>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</si>
  <si>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</si>
  <si>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</si>
  <si>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</si>
  <si>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</si>
  <si>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</si>
  <si>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</si>
  <si>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</si>
  <si>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</si>
  <si>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</si>
  <si>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</si>
  <si>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</si>
  <si>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</si>
  <si>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</si>
  <si>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</si>
  <si>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</si>
  <si>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</si>
  <si>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</si>
  <si>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</si>
  <si>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</si>
  <si>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</si>
  <si>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</si>
  <si>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</si>
  <si>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</si>
  <si>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</si>
  <si>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</si>
  <si>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</si>
  <si>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</si>
  <si>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</si>
  <si>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</si>
  <si>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</si>
  <si>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</si>
  <si>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</si>
  <si>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</si>
  <si>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</si>
  <si>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</si>
  <si>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</si>
  <si>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</si>
  <si>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</si>
  <si>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</si>
  <si>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</si>
  <si>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</si>
  <si>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</si>
  <si>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</si>
  <si>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</si>
  <si>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</si>
  <si>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</si>
  <si>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</si>
  <si>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</si>
  <si>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</si>
  <si>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</si>
  <si>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</si>
  <si>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</si>
  <si>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</si>
  <si>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</si>
  <si>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</si>
  <si>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</si>
  <si>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</si>
  <si>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</si>
  <si>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</si>
  <si>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</si>
  <si>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</si>
  <si>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</si>
  <si>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</si>
  <si>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</si>
  <si>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</si>
  <si>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</si>
  <si>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</si>
  <si>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</si>
  <si>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</si>
  <si>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</si>
  <si>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</si>
  <si>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</si>
  <si>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</si>
  <si>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</si>
  <si>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</si>
  <si>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</si>
  <si>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</si>
  <si>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</si>
  <si>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</si>
  <si>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</si>
  <si>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</si>
  <si>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</si>
  <si>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</si>
  <si>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</si>
  <si>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</si>
  <si>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</si>
  <si>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</si>
  <si>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</si>
  <si>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</si>
  <si>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</si>
  <si>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</si>
  <si>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</si>
  <si>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</si>
  <si>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</si>
  <si>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</si>
  <si>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</si>
  <si>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</si>
  <si>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</si>
  <si>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</si>
  <si>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</si>
  <si>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</si>
  <si>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</si>
  <si>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</si>
  <si>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</si>
  <si>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</si>
  <si>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</si>
  <si>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</si>
  <si>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</si>
  <si>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</si>
  <si>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</si>
  <si>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</si>
  <si>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</si>
  <si>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</si>
  <si>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</si>
  <si>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</si>
  <si>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</si>
  <si>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</si>
  <si>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</si>
  <si>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</si>
  <si>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</si>
  <si>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</si>
  <si>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</si>
  <si>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</si>
  <si>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</si>
  <si>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</si>
  <si>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</si>
  <si>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</si>
  <si>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</si>
  <si>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</si>
  <si>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</si>
  <si>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</si>
  <si>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</si>
  <si>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</si>
  <si>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</si>
  <si>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</si>
  <si>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</si>
  <si>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</si>
  <si>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</si>
  <si>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</si>
  <si>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</si>
  <si>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</si>
  <si>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</si>
  <si>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</si>
  <si>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</si>
  <si>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</si>
  <si>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</si>
  <si>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</si>
  <si>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</si>
  <si>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</si>
  <si>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</si>
  <si>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</si>
  <si>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</si>
  <si>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</si>
  <si>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</si>
  <si>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</si>
  <si>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</si>
  <si>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</si>
  <si>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</si>
  <si>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</si>
  <si>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</si>
  <si>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</si>
  <si>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</si>
  <si>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</si>
  <si>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</si>
  <si>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</si>
  <si>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</si>
  <si>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</si>
  <si>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</si>
  <si>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</si>
  <si>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</si>
  <si>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</si>
  <si>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</si>
  <si>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</si>
  <si>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</si>
  <si>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</si>
  <si>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</si>
  <si>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</si>
  <si>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</si>
  <si>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</si>
  <si>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</si>
  <si>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</si>
  <si>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</si>
  <si>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</si>
  <si>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</si>
  <si>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</si>
  <si>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</si>
  <si>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</si>
  <si>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</si>
  <si>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</si>
  <si>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</si>
  <si>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</si>
  <si>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</si>
  <si>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</si>
  <si>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</si>
  <si>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</si>
  <si>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</si>
  <si>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</si>
  <si>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</si>
  <si>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</si>
  <si>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</si>
  <si>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</si>
  <si>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</si>
  <si>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</si>
  <si>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</si>
  <si>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</si>
  <si>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</si>
  <si>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</si>
  <si>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</si>
  <si>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</si>
  <si>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</si>
  <si>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</si>
  <si>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</si>
  <si>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</si>
  <si>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</si>
  <si>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</si>
  <si>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</si>
  <si>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</si>
  <si>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</si>
  <si>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</si>
  <si>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</si>
  <si>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</si>
  <si>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</si>
  <si>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</si>
  <si>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</si>
  <si>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</si>
  <si>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</si>
  <si>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</si>
  <si>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</si>
  <si>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</si>
  <si>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</si>
  <si>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</si>
  <si>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</si>
  <si>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</si>
  <si>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</si>
  <si>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</si>
  <si>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</si>
  <si>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</si>
  <si>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</si>
  <si>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</si>
  <si>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</si>
  <si>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</si>
  <si>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</si>
  <si>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</si>
  <si>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</si>
  <si>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</si>
  <si>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</si>
  <si>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</si>
  <si>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</si>
  <si>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</si>
  <si>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</si>
  <si>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</si>
  <si>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</si>
  <si>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</si>
  <si>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</si>
  <si>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</si>
  <si>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</si>
  <si>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</si>
  <si>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</si>
  <si>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</si>
  <si>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</si>
  <si>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</si>
  <si>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</si>
  <si>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</si>
  <si>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</si>
  <si>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</si>
  <si>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</si>
  <si>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</si>
  <si>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</si>
  <si>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</si>
  <si>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</si>
  <si>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</si>
  <si>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</si>
  <si>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</si>
  <si>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</si>
  <si>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</si>
  <si>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</si>
  <si>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</si>
  <si>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</si>
  <si>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</si>
  <si>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</si>
  <si>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</si>
  <si>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</si>
  <si>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</si>
  <si>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</si>
  <si>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</si>
  <si>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</si>
  <si>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</si>
  <si>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</si>
  <si>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</si>
  <si>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</si>
  <si>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</si>
  <si>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</si>
  <si>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</si>
  <si>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</si>
  <si>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</si>
  <si>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</si>
  <si>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</si>
  <si>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</si>
  <si>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</si>
  <si>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</si>
  <si>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</si>
  <si>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</si>
  <si>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</si>
  <si>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</si>
  <si>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</si>
  <si>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</si>
  <si>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</si>
  <si>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</si>
  <si>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</si>
  <si>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</si>
  <si>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</si>
  <si>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</si>
  <si>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</si>
  <si>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</si>
  <si>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</si>
  <si>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</si>
  <si>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</si>
  <si>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</si>
  <si>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</si>
  <si>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</si>
  <si>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</si>
  <si>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</si>
  <si>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</si>
  <si>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</si>
  <si>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</si>
  <si>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</si>
  <si>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</si>
  <si>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</si>
  <si>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</si>
  <si>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</si>
  <si>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</si>
  <si>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</si>
  <si>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</si>
  <si>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</si>
  <si>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</si>
  <si>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</si>
  <si>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</si>
  <si>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</si>
  <si>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</si>
  <si>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</si>
  <si>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</si>
  <si>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</si>
  <si>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</si>
  <si>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</si>
  <si>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</si>
  <si>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</si>
  <si>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</si>
  <si>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</si>
  <si>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</si>
  <si>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</si>
  <si>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</si>
  <si>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</si>
  <si>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</si>
  <si>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</si>
  <si>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</si>
  <si>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</si>
  <si>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</si>
  <si>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</si>
  <si>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</si>
  <si>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</si>
  <si>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</si>
  <si>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</si>
  <si>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</si>
  <si>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</si>
  <si>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</si>
  <si>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</si>
  <si>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</si>
  <si>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</si>
  <si>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</si>
  <si>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</si>
  <si>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</si>
  <si>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</si>
  <si>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</si>
  <si>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</si>
  <si>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</si>
  <si>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</si>
  <si>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</si>
  <si>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</si>
  <si>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</si>
  <si>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</si>
  <si>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</si>
  <si>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</si>
  <si>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</si>
  <si>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</si>
  <si>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</si>
  <si>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</si>
  <si>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</si>
  <si>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</si>
  <si>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</si>
  <si>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</si>
  <si>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</si>
  <si>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</si>
  <si>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</si>
  <si>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</si>
  <si>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</si>
  <si>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</si>
  <si>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</si>
  <si>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</si>
  <si>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</si>
  <si>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</si>
  <si>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</si>
  <si>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</si>
  <si>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</si>
  <si>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</si>
  <si>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</si>
  <si>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</si>
  <si>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</si>
  <si>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</si>
  <si>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</si>
  <si>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</si>
  <si>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</si>
  <si>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</si>
  <si>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</si>
  <si>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</si>
  <si>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</si>
  <si>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</si>
  <si>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</si>
  <si>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</si>
  <si>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</si>
  <si>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</si>
  <si>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</si>
  <si>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</si>
  <si>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</si>
  <si>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</si>
  <si>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</si>
  <si>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</si>
  <si>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</si>
  <si>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</si>
  <si>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</si>
  <si>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</si>
  <si>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</si>
  <si>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</si>
  <si>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</si>
  <si>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</si>
  <si>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</si>
  <si>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</si>
  <si>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</si>
  <si>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</si>
  <si>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</si>
  <si>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</si>
  <si>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</si>
  <si>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</si>
  <si>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</si>
  <si>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</si>
  <si>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</si>
  <si>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</si>
  <si>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</si>
  <si>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</si>
  <si>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</si>
  <si>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</si>
  <si>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</si>
  <si>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</si>
  <si>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</si>
  <si>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</si>
  <si>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</si>
  <si>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</si>
  <si>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</si>
  <si>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</si>
  <si>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</si>
  <si>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</si>
  <si>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</si>
  <si>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</si>
  <si>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</si>
  <si>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</si>
  <si>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</si>
  <si>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</si>
  <si>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</si>
  <si>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</si>
  <si>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</si>
  <si>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</si>
  <si>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</si>
  <si>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</si>
  <si>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</si>
  <si>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</si>
  <si>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</si>
  <si>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</si>
  <si>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</si>
  <si>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</si>
  <si>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</si>
  <si>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</si>
  <si>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</si>
  <si>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</si>
  <si>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</si>
  <si>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</si>
  <si>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</si>
  <si>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</si>
  <si>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</si>
  <si>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</si>
  <si>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</si>
  <si>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</si>
  <si>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</si>
  <si>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</si>
  <si>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</si>
  <si>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</si>
  <si>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</si>
  <si>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</si>
  <si>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</si>
  <si>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</si>
  <si>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</si>
  <si>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</si>
  <si>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</si>
  <si>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</si>
  <si>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</si>
  <si>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</si>
  <si>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</si>
  <si>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</si>
  <si>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</si>
  <si>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</si>
  <si>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</si>
  <si>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</si>
  <si>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</si>
  <si>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</si>
  <si>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</si>
  <si>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</si>
  <si>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</si>
  <si>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</si>
  <si>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</si>
  <si>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</si>
  <si>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</si>
  <si>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</si>
  <si>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</si>
  <si>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</si>
  <si>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</si>
  <si>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</si>
  <si>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</si>
  <si>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</si>
  <si>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</si>
  <si>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</si>
  <si>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</si>
  <si>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</si>
  <si>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</si>
  <si>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</si>
  <si>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</si>
  <si>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</si>
  <si>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</si>
  <si>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</si>
  <si>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</si>
  <si>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</si>
  <si>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</si>
  <si>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</si>
  <si>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</si>
  <si>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</si>
  <si>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</si>
  <si>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</si>
  <si>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</si>
  <si>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</si>
  <si>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</si>
  <si>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</si>
  <si>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</si>
  <si>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</si>
  <si>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</si>
  <si>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</si>
  <si>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</si>
  <si>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</si>
  <si>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</si>
  <si>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</si>
  <si>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</si>
  <si>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</si>
  <si>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</si>
  <si>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</si>
  <si>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</si>
  <si>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</si>
  <si>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</si>
  <si>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</si>
  <si>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</si>
  <si>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</si>
  <si>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</si>
  <si>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</si>
  <si>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</si>
  <si>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</si>
  <si>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</si>
  <si>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</si>
  <si>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</si>
  <si>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</si>
  <si>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</si>
  <si>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</si>
  <si>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</si>
  <si>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</si>
  <si>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</si>
  <si>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</si>
  <si>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</si>
  <si>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</si>
  <si>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</si>
  <si>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</si>
  <si>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</si>
  <si>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</si>
  <si>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</si>
  <si>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</si>
  <si>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</si>
  <si>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</si>
  <si>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</si>
  <si>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</si>
  <si>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</si>
  <si>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</si>
  <si>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</si>
  <si>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</si>
  <si>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</si>
  <si>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</si>
  <si>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</si>
  <si>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</si>
  <si>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</si>
  <si>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</si>
  <si>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</si>
  <si>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</si>
  <si>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</si>
  <si>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</si>
  <si>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</si>
  <si>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</si>
  <si>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</si>
  <si>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</si>
  <si>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</si>
  <si>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</si>
  <si>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</si>
  <si>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</si>
  <si>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</si>
  <si>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</si>
  <si>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</si>
  <si>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</si>
  <si>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</si>
  <si>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</si>
  <si>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</si>
  <si>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</si>
  <si>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</si>
  <si>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</si>
  <si>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</si>
  <si>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</si>
  <si>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</si>
  <si>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</si>
  <si>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</si>
  <si>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</si>
  <si>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</si>
  <si>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</si>
  <si>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</si>
  <si>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</si>
  <si>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</si>
  <si>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</si>
  <si>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</si>
  <si>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</si>
  <si>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</si>
  <si>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</si>
  <si>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</si>
  <si>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</si>
  <si>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</si>
  <si>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</si>
  <si>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</si>
  <si>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</si>
  <si>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</si>
  <si>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</si>
  <si>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</si>
  <si>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</si>
  <si>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</si>
  <si>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</si>
  <si>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</si>
  <si>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</si>
  <si>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</si>
  <si>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</si>
  <si>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</si>
  <si>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</si>
  <si>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</si>
  <si>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</si>
  <si>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</si>
  <si>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</si>
  <si>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</si>
  <si>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</si>
  <si>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</si>
  <si>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</si>
  <si>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</si>
  <si>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</si>
  <si>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</si>
  <si>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</si>
  <si>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</si>
  <si>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</si>
  <si>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</si>
  <si>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</si>
  <si>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</si>
  <si>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</si>
  <si>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</si>
  <si>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</si>
  <si>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</si>
  <si>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</si>
  <si>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</si>
  <si>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</si>
  <si>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</si>
  <si>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</si>
  <si>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</si>
  <si>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</si>
  <si>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</si>
  <si>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</si>
  <si>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</si>
  <si>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</si>
  <si>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</si>
  <si>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</si>
  <si>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</si>
  <si>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</si>
  <si>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</si>
  <si>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</si>
  <si>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</si>
  <si>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</si>
  <si>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</si>
  <si>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</si>
  <si>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</si>
  <si>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</si>
  <si>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</si>
  <si>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</si>
  <si>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</si>
  <si>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</si>
  <si>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</si>
  <si>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</si>
  <si>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</si>
  <si>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</si>
  <si>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</si>
  <si>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</si>
  <si>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</si>
  <si>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</si>
  <si>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</si>
  <si>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</si>
  <si>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</si>
  <si>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</si>
  <si>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</si>
  <si>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</si>
  <si>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</si>
  <si>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</si>
  <si>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</si>
  <si>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</si>
  <si>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</si>
  <si>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</si>
  <si>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</si>
  <si>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</si>
  <si>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</si>
  <si>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</si>
  <si>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</si>
  <si>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</si>
  <si>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</si>
  <si>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</si>
  <si>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</si>
  <si>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</si>
  <si>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</si>
  <si>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</si>
  <si>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</si>
  <si>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</si>
  <si>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</si>
  <si>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</si>
  <si>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</si>
  <si>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</si>
  <si>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</si>
  <si>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</si>
  <si>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</si>
  <si>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</si>
  <si>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</si>
  <si>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</si>
  <si>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</si>
  <si>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</si>
  <si>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</si>
  <si>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</si>
  <si>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</si>
  <si>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</si>
  <si>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</si>
  <si>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</si>
  <si>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</si>
  <si>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</si>
  <si>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</si>
  <si>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</si>
  <si>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</si>
  <si>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</si>
  <si>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</si>
  <si>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</si>
  <si>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</si>
  <si>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</si>
  <si>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</si>
  <si>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</si>
  <si>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</si>
  <si>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</si>
  <si>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</si>
  <si>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</si>
  <si>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</si>
  <si>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</si>
  <si>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</si>
  <si>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</si>
  <si>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</si>
  <si>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</si>
  <si>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</si>
  <si>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</si>
  <si>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</si>
  <si>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</si>
  <si>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</si>
  <si>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</si>
  <si>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</si>
  <si>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</si>
  <si>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</si>
  <si>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</si>
  <si>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</si>
  <si>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</si>
  <si>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</si>
  <si>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</si>
  <si>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11/01</t>
  </si>
  <si>
    <t>08/03</t>
  </si>
  <si>
    <t>11/21</t>
  </si>
  <si>
    <t>02/23</t>
  </si>
  <si>
    <t>6/22/2016</t>
  </si>
  <si>
    <t>07/26</t>
  </si>
  <si>
    <t>Oyster River 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</si>
</sst>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918</v>
      </c>
      <c r="B2" s="21">
        <v>423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1766337.77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1115875.08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v>39054.29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8500</v>
      </c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39525.620000000003</v>
      </c>
      <c r="G14" s="18">
        <v>12268.03</v>
      </c>
      <c r="H14" s="18">
        <v>134904.44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57591.45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1871954.84</v>
      </c>
      <c r="G19" s="41">
        <f>SUM(G9:G18)</f>
        <v>51322.32</v>
      </c>
      <c r="H19" s="41">
        <f>SUM(H9:H18)</f>
        <v>134904.44</v>
      </c>
      <c r="I19" s="41">
        <f>SUM(I9:I18)</f>
        <v>0</v>
      </c>
      <c r="J19" s="41">
        <f>SUM(J9:J18)</f>
        <v>1115875.08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22891.919999999998</v>
      </c>
      <c r="G22" s="18"/>
      <c r="H22" s="18">
        <v>15586.37</v>
      </c>
      <c r="I22" s="18"/>
      <c r="J22" s="67">
        <f>SUM(I448)</f>
        <v>576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8500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107868.63</v>
      </c>
      <c r="G24" s="18">
        <v>507.04</v>
      </c>
      <c r="H24" s="18">
        <v>7230.17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1263.3800000000001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830934.35+0.03</f>
        <v>830934.38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32805.29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2160</v>
      </c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965118.31</v>
      </c>
      <c r="G32" s="41">
        <f>SUM(G22:G31)</f>
        <v>33312.33</v>
      </c>
      <c r="H32" s="41">
        <f>SUM(H22:H31)</f>
        <v>22816.54</v>
      </c>
      <c r="I32" s="41">
        <f>SUM(I22:I31)</f>
        <v>0</v>
      </c>
      <c r="J32" s="41">
        <f>SUM(J22:J31)</f>
        <v>9076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57591.45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18009.990000000002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218503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63043.09</v>
      </c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112087.9</v>
      </c>
      <c r="I48" s="18"/>
      <c r="J48" s="13">
        <f>SUM(I459)</f>
        <v>1106799.08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567698.99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906836.53</v>
      </c>
      <c r="G51" s="41">
        <f>SUM(G35:G50)</f>
        <v>18009.990000000002</v>
      </c>
      <c r="H51" s="41">
        <f>SUM(H35:H50)</f>
        <v>112087.9</v>
      </c>
      <c r="I51" s="41">
        <f>SUM(I35:I50)</f>
        <v>0</v>
      </c>
      <c r="J51" s="41">
        <f>SUM(J35:J50)</f>
        <v>1106799.08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1871954.84</v>
      </c>
      <c r="G52" s="41">
        <f>G51+G32</f>
        <v>51322.320000000007</v>
      </c>
      <c r="H52" s="41">
        <f>H51+H32</f>
        <v>134904.44</v>
      </c>
      <c r="I52" s="41">
        <f>I51+I32</f>
        <v>0</v>
      </c>
      <c r="J52" s="41">
        <f>J51+J32</f>
        <v>1115875.08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28936249.239999998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28936249.239999998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8972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325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1813036.52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1822333.52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23136.86</v>
      </c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23136.86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6337.86</v>
      </c>
      <c r="G96" s="18"/>
      <c r="H96" s="18"/>
      <c r="I96" s="18">
        <v>1006.48</v>
      </c>
      <c r="J96" s="18">
        <v>54.03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643420.78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>
        <v>35022.5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32104.5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2500</v>
      </c>
      <c r="I102" s="18">
        <v>150081.32</v>
      </c>
      <c r="J102" s="18">
        <v>975</v>
      </c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2468</v>
      </c>
      <c r="G110" s="18"/>
      <c r="H110" s="18">
        <v>69998.34</v>
      </c>
      <c r="I110" s="18"/>
      <c r="J110" s="18">
        <v>39454.300000000003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40910.36</v>
      </c>
      <c r="G111" s="41">
        <f>SUM(G96:G110)</f>
        <v>643420.78</v>
      </c>
      <c r="H111" s="41">
        <f>SUM(H96:H110)</f>
        <v>107520.84</v>
      </c>
      <c r="I111" s="41">
        <f>SUM(I96:I110)</f>
        <v>151087.80000000002</v>
      </c>
      <c r="J111" s="41">
        <f>SUM(J96:J110)</f>
        <v>40483.33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30822629.979999997</v>
      </c>
      <c r="G112" s="41">
        <f>G60+G111</f>
        <v>643420.78</v>
      </c>
      <c r="H112" s="41">
        <f>H60+H79+H94+H111</f>
        <v>107520.84</v>
      </c>
      <c r="I112" s="41">
        <f>I60+I111</f>
        <v>151087.80000000002</v>
      </c>
      <c r="J112" s="41">
        <f>J60+J111</f>
        <v>40483.33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4707871.45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3754492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8462363.4499999993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523742.09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156584.07999999999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2550.6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6532.26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8062.02</v>
      </c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690938.79</v>
      </c>
      <c r="G136" s="41">
        <f>SUM(G123:G135)</f>
        <v>6532.26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9153302.2399999984</v>
      </c>
      <c r="G140" s="41">
        <f>G121+SUM(G136:G137)</f>
        <v>6532.26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73394.25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32348.41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101541.9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460650.59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338791.52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338791.52</v>
      </c>
      <c r="G162" s="41">
        <f>SUM(G150:G161)</f>
        <v>101541.9</v>
      </c>
      <c r="H162" s="41">
        <f>SUM(H150:H161)</f>
        <v>566393.25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338791.52</v>
      </c>
      <c r="G169" s="41">
        <f>G147+G162+SUM(G163:G168)</f>
        <v>101541.9</v>
      </c>
      <c r="H169" s="41">
        <f>H147+H162+SUM(H163:H168)</f>
        <v>566393.25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>
        <v>775424.87</v>
      </c>
      <c r="J179" s="18">
        <v>200000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>
        <v>284674.68</v>
      </c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1060099.55</v>
      </c>
      <c r="J183" s="41">
        <f>SUM(J179:J182)</f>
        <v>200000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1060099.55</v>
      </c>
      <c r="J192" s="41">
        <f>J183</f>
        <v>200000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40314723.740000002</v>
      </c>
      <c r="G193" s="47">
        <f>G112+G140+G169+G192</f>
        <v>751494.94000000006</v>
      </c>
      <c r="H193" s="47">
        <f>H112+H140+H169+H192</f>
        <v>673914.09</v>
      </c>
      <c r="I193" s="47">
        <f>I112+I140+I169+I192</f>
        <v>1211187.3500000001</v>
      </c>
      <c r="J193" s="47">
        <f>J112+J140+J192</f>
        <v>240483.33000000002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3913514.9600000004</v>
      </c>
      <c r="G197" s="18">
        <v>1532453.92</v>
      </c>
      <c r="H197" s="18">
        <v>33695.759999999995</v>
      </c>
      <c r="I197" s="18">
        <v>99429.810000000012</v>
      </c>
      <c r="J197" s="18">
        <v>22857.57</v>
      </c>
      <c r="K197" s="18"/>
      <c r="L197" s="19">
        <f>SUM(F197:K197)</f>
        <v>5601952.0200000005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1329412.6500000001</v>
      </c>
      <c r="G198" s="18">
        <v>487000.24999999994</v>
      </c>
      <c r="H198" s="18">
        <v>311742.74</v>
      </c>
      <c r="I198" s="18">
        <v>9479.11</v>
      </c>
      <c r="J198" s="18">
        <v>1399.99</v>
      </c>
      <c r="K198" s="18">
        <v>4270.3999999999996</v>
      </c>
      <c r="L198" s="19">
        <f>SUM(F198:K198)</f>
        <v>2143305.14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50715.930000000008</v>
      </c>
      <c r="G200" s="18">
        <v>7061.59</v>
      </c>
      <c r="H200" s="18">
        <v>21319.48</v>
      </c>
      <c r="I200" s="18">
        <v>1505.75</v>
      </c>
      <c r="J200" s="18"/>
      <c r="K200" s="18"/>
      <c r="L200" s="19">
        <f>SUM(F200:K200)</f>
        <v>80602.75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771242.84000000008</v>
      </c>
      <c r="G202" s="18">
        <v>325167.76999999996</v>
      </c>
      <c r="H202" s="18">
        <v>177549.87</v>
      </c>
      <c r="I202" s="18">
        <v>7084.0199999999995</v>
      </c>
      <c r="J202" s="18">
        <v>1338.3200000000002</v>
      </c>
      <c r="K202" s="18"/>
      <c r="L202" s="19">
        <f t="shared" ref="L202:L208" si="0">SUM(F202:K202)</f>
        <v>1282382.82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242093.16</v>
      </c>
      <c r="G203" s="18">
        <v>98876.43</v>
      </c>
      <c r="H203" s="18">
        <v>26208.62</v>
      </c>
      <c r="I203" s="18">
        <v>63210.210000000006</v>
      </c>
      <c r="J203" s="18">
        <v>1307.17</v>
      </c>
      <c r="K203" s="18"/>
      <c r="L203" s="19">
        <f t="shared" si="0"/>
        <v>431695.58999999997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184914.5</v>
      </c>
      <c r="G204" s="18">
        <v>62366.12</v>
      </c>
      <c r="H204" s="18">
        <v>51212</v>
      </c>
      <c r="I204" s="18">
        <v>7039.15</v>
      </c>
      <c r="J204" s="18"/>
      <c r="K204" s="18">
        <v>6070.63</v>
      </c>
      <c r="L204" s="19">
        <f t="shared" si="0"/>
        <v>311602.40000000002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383782.57000000007</v>
      </c>
      <c r="G205" s="18">
        <v>183607.87999999995</v>
      </c>
      <c r="H205" s="18">
        <v>65616.489999999991</v>
      </c>
      <c r="I205" s="18">
        <v>5470.43</v>
      </c>
      <c r="J205" s="18"/>
      <c r="K205" s="18">
        <v>1168</v>
      </c>
      <c r="L205" s="19">
        <f t="shared" si="0"/>
        <v>639645.37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101112.54</v>
      </c>
      <c r="G206" s="18">
        <v>38511.949999999997</v>
      </c>
      <c r="H206" s="18">
        <v>45343.360000000001</v>
      </c>
      <c r="I206" s="18">
        <v>1251.27</v>
      </c>
      <c r="J206" s="18"/>
      <c r="K206" s="18">
        <v>651.86</v>
      </c>
      <c r="L206" s="19">
        <f t="shared" si="0"/>
        <v>186870.97999999995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303732.76</v>
      </c>
      <c r="G207" s="18">
        <v>152500.69</v>
      </c>
      <c r="H207" s="18">
        <v>579076.55000000005</v>
      </c>
      <c r="I207" s="18">
        <v>171748.58000000002</v>
      </c>
      <c r="J207" s="18">
        <v>18501.46</v>
      </c>
      <c r="K207" s="18"/>
      <c r="L207" s="19">
        <f t="shared" si="0"/>
        <v>1225560.04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243998.98</v>
      </c>
      <c r="G208" s="18">
        <v>177534.04</v>
      </c>
      <c r="H208" s="18">
        <v>57401.35</v>
      </c>
      <c r="I208" s="18">
        <v>36683.49</v>
      </c>
      <c r="J208" s="18">
        <v>56692.17</v>
      </c>
      <c r="K208" s="18">
        <v>927.17</v>
      </c>
      <c r="L208" s="19">
        <f t="shared" si="0"/>
        <v>573237.20000000007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148000.43</v>
      </c>
      <c r="G209" s="18">
        <v>75310.87</v>
      </c>
      <c r="H209" s="18">
        <v>99478.17</v>
      </c>
      <c r="I209" s="18">
        <v>26932.77</v>
      </c>
      <c r="J209" s="18">
        <v>28209.52</v>
      </c>
      <c r="K209" s="18">
        <v>1644.36</v>
      </c>
      <c r="L209" s="19">
        <f>SUM(F209:K209)</f>
        <v>379576.12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7672521.3200000003</v>
      </c>
      <c r="G211" s="41">
        <f t="shared" si="1"/>
        <v>3140391.5100000002</v>
      </c>
      <c r="H211" s="41">
        <f t="shared" si="1"/>
        <v>1468644.3900000001</v>
      </c>
      <c r="I211" s="41">
        <f t="shared" si="1"/>
        <v>429834.59</v>
      </c>
      <c r="J211" s="41">
        <f t="shared" si="1"/>
        <v>130306.2</v>
      </c>
      <c r="K211" s="41">
        <f t="shared" si="1"/>
        <v>14732.42</v>
      </c>
      <c r="L211" s="41">
        <f t="shared" si="1"/>
        <v>12856430.429999998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3821817.63</v>
      </c>
      <c r="G215" s="18">
        <v>1672625.9100000001</v>
      </c>
      <c r="H215" s="18">
        <v>47834.69</v>
      </c>
      <c r="I215" s="18">
        <v>71063.570000000007</v>
      </c>
      <c r="J215" s="18">
        <v>21292.92</v>
      </c>
      <c r="K215" s="18"/>
      <c r="L215" s="19">
        <f>SUM(F215:K215)</f>
        <v>5634634.7200000007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1284775.47</v>
      </c>
      <c r="G216" s="18">
        <v>502447.55999999994</v>
      </c>
      <c r="H216" s="18">
        <v>298202.83</v>
      </c>
      <c r="I216" s="18">
        <v>9013.9500000000007</v>
      </c>
      <c r="J216" s="18">
        <v>474.91999999999996</v>
      </c>
      <c r="K216" s="18">
        <v>4042.39</v>
      </c>
      <c r="L216" s="19">
        <f>SUM(F216:K216)</f>
        <v>2098957.1199999996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110965.64</v>
      </c>
      <c r="G218" s="18">
        <v>19647.330000000002</v>
      </c>
      <c r="H218" s="18">
        <v>11029.3</v>
      </c>
      <c r="I218" s="18">
        <v>9287.8000000000011</v>
      </c>
      <c r="J218" s="18">
        <v>0</v>
      </c>
      <c r="K218" s="18">
        <v>280</v>
      </c>
      <c r="L218" s="19">
        <f>SUM(F218:K218)</f>
        <v>151210.06999999998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605880.22</v>
      </c>
      <c r="G220" s="18">
        <v>203287.36</v>
      </c>
      <c r="H220" s="18">
        <v>170310.66</v>
      </c>
      <c r="I220" s="18">
        <v>5739.4600000000009</v>
      </c>
      <c r="J220" s="18">
        <v>1425.53</v>
      </c>
      <c r="K220" s="18"/>
      <c r="L220" s="19">
        <f t="shared" ref="L220:L226" si="2">SUM(F220:K220)</f>
        <v>986643.23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123345.79000000001</v>
      </c>
      <c r="G221" s="18">
        <v>63146.290000000008</v>
      </c>
      <c r="H221" s="18">
        <v>27690.07</v>
      </c>
      <c r="I221" s="18">
        <v>27698.27</v>
      </c>
      <c r="J221" s="18">
        <v>5166.21</v>
      </c>
      <c r="K221" s="18"/>
      <c r="L221" s="19">
        <f t="shared" si="2"/>
        <v>247046.63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255781.72</v>
      </c>
      <c r="G222" s="18">
        <v>105110.95999999999</v>
      </c>
      <c r="H222" s="18">
        <v>48477.74</v>
      </c>
      <c r="I222" s="18">
        <v>6663.32</v>
      </c>
      <c r="J222" s="18"/>
      <c r="K222" s="18">
        <v>5746.51</v>
      </c>
      <c r="L222" s="19">
        <f t="shared" si="2"/>
        <v>421780.25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280261.56</v>
      </c>
      <c r="G223" s="18">
        <v>153457.05000000002</v>
      </c>
      <c r="H223" s="18">
        <v>27592.97</v>
      </c>
      <c r="I223" s="18">
        <v>5998.63</v>
      </c>
      <c r="J223" s="18"/>
      <c r="K223" s="18">
        <v>500</v>
      </c>
      <c r="L223" s="19">
        <f t="shared" si="2"/>
        <v>467810.20999999996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95714.04</v>
      </c>
      <c r="G224" s="18">
        <v>36455.760000000002</v>
      </c>
      <c r="H224" s="18">
        <v>42922.43</v>
      </c>
      <c r="I224" s="18">
        <v>1184.46</v>
      </c>
      <c r="J224" s="18"/>
      <c r="K224" s="18">
        <v>617.04999999999995</v>
      </c>
      <c r="L224" s="19">
        <f t="shared" si="2"/>
        <v>176893.73999999996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286106.14</v>
      </c>
      <c r="G225" s="18">
        <v>144855.93000000002</v>
      </c>
      <c r="H225" s="18">
        <v>437272.44999999995</v>
      </c>
      <c r="I225" s="18">
        <v>148128.69</v>
      </c>
      <c r="J225" s="18">
        <v>17513.64</v>
      </c>
      <c r="K225" s="18"/>
      <c r="L225" s="19">
        <f t="shared" si="2"/>
        <v>1033876.85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240177.53</v>
      </c>
      <c r="G226" s="18">
        <v>168685.7</v>
      </c>
      <c r="H226" s="18">
        <v>54647.63</v>
      </c>
      <c r="I226" s="18">
        <v>34724.92</v>
      </c>
      <c r="J226" s="18">
        <v>53665.32</v>
      </c>
      <c r="K226" s="18">
        <v>877.67</v>
      </c>
      <c r="L226" s="19">
        <f t="shared" si="2"/>
        <v>552778.77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140098.53</v>
      </c>
      <c r="G227" s="18">
        <v>71289.94</v>
      </c>
      <c r="H227" s="18">
        <v>94166.92</v>
      </c>
      <c r="I227" s="18">
        <v>25494.81</v>
      </c>
      <c r="J227" s="18">
        <v>26703.38</v>
      </c>
      <c r="K227" s="18">
        <v>1556.56</v>
      </c>
      <c r="L227" s="19">
        <f>SUM(F227:K227)</f>
        <v>359310.14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7244924.2699999986</v>
      </c>
      <c r="G229" s="41">
        <f>SUM(G215:G228)</f>
        <v>3141009.79</v>
      </c>
      <c r="H229" s="41">
        <f>SUM(H215:H228)</f>
        <v>1260147.6899999997</v>
      </c>
      <c r="I229" s="41">
        <f>SUM(I215:I228)</f>
        <v>344997.88</v>
      </c>
      <c r="J229" s="41">
        <f>SUM(J215:J228)</f>
        <v>126241.92</v>
      </c>
      <c r="K229" s="41">
        <f t="shared" si="3"/>
        <v>13620.179999999998</v>
      </c>
      <c r="L229" s="41">
        <f t="shared" si="3"/>
        <v>12130941.73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3878013.2</v>
      </c>
      <c r="G233" s="18">
        <v>1822528.21</v>
      </c>
      <c r="H233" s="18">
        <v>62364.69</v>
      </c>
      <c r="I233" s="18">
        <v>106569.89</v>
      </c>
      <c r="J233" s="18">
        <v>9856.69</v>
      </c>
      <c r="K233" s="18"/>
      <c r="L233" s="19">
        <f>SUM(F233:K233)</f>
        <v>5879332.6800000006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1217104.51</v>
      </c>
      <c r="G234" s="18">
        <v>517116.12999999995</v>
      </c>
      <c r="H234" s="18">
        <v>408586.93</v>
      </c>
      <c r="I234" s="18">
        <v>9783.7000000000007</v>
      </c>
      <c r="J234" s="18">
        <v>448.84</v>
      </c>
      <c r="K234" s="18">
        <v>4707.91</v>
      </c>
      <c r="L234" s="19">
        <f>SUM(F234:K234)</f>
        <v>2157748.02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15844.04</v>
      </c>
      <c r="I235" s="18"/>
      <c r="J235" s="18"/>
      <c r="K235" s="18"/>
      <c r="L235" s="19">
        <f>SUM(F235:K235)</f>
        <v>15844.04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290356.41000000003</v>
      </c>
      <c r="G236" s="18">
        <v>71214.47</v>
      </c>
      <c r="H236" s="18">
        <v>83327.53</v>
      </c>
      <c r="I236" s="18">
        <v>41862.65</v>
      </c>
      <c r="J236" s="18">
        <v>6979.21</v>
      </c>
      <c r="K236" s="18">
        <v>65738.8</v>
      </c>
      <c r="L236" s="19">
        <f>SUM(F236:K236)</f>
        <v>559479.07000000007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713309.41</v>
      </c>
      <c r="G238" s="18">
        <v>283492.0400000001</v>
      </c>
      <c r="H238" s="18">
        <v>231137.97</v>
      </c>
      <c r="I238" s="18">
        <v>3708.54</v>
      </c>
      <c r="J238" s="18">
        <v>2925.39</v>
      </c>
      <c r="K238" s="18"/>
      <c r="L238" s="19">
        <f t="shared" ref="L238:L244" si="4">SUM(F238:K238)</f>
        <v>1234573.3500000001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135861.09999999998</v>
      </c>
      <c r="G239" s="18">
        <v>49014.47</v>
      </c>
      <c r="H239" s="18">
        <v>35963.32</v>
      </c>
      <c r="I239" s="18">
        <v>25976.97</v>
      </c>
      <c r="J239" s="18">
        <v>38735.159999999996</v>
      </c>
      <c r="K239" s="18"/>
      <c r="L239" s="19">
        <f t="shared" si="4"/>
        <v>285551.01999999996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287249.56</v>
      </c>
      <c r="G240" s="18">
        <v>115254.26000000001</v>
      </c>
      <c r="H240" s="18">
        <v>56458.83</v>
      </c>
      <c r="I240" s="18">
        <v>7760.33</v>
      </c>
      <c r="J240" s="18"/>
      <c r="K240" s="18">
        <v>6692.59</v>
      </c>
      <c r="L240" s="19">
        <f t="shared" si="4"/>
        <v>473415.57000000007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369212.58</v>
      </c>
      <c r="G241" s="18">
        <v>178131.22</v>
      </c>
      <c r="H241" s="18">
        <v>42127.96</v>
      </c>
      <c r="I241" s="18">
        <v>1903.86</v>
      </c>
      <c r="J241" s="18"/>
      <c r="K241" s="18">
        <v>15226.52</v>
      </c>
      <c r="L241" s="19">
        <f t="shared" si="4"/>
        <v>606602.14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111471.84</v>
      </c>
      <c r="G242" s="18">
        <v>42457.62</v>
      </c>
      <c r="H242" s="18">
        <v>49988.93</v>
      </c>
      <c r="I242" s="18">
        <v>1379.47</v>
      </c>
      <c r="J242" s="18"/>
      <c r="K242" s="18">
        <v>718.64</v>
      </c>
      <c r="L242" s="19">
        <f t="shared" si="4"/>
        <v>206016.5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445528.64</v>
      </c>
      <c r="G243" s="18">
        <v>230467.19999999998</v>
      </c>
      <c r="H243" s="18">
        <v>633136.74</v>
      </c>
      <c r="I243" s="18">
        <v>340682.43000000005</v>
      </c>
      <c r="J243" s="18">
        <v>20396.990000000002</v>
      </c>
      <c r="K243" s="18"/>
      <c r="L243" s="19">
        <f t="shared" si="4"/>
        <v>1670212.0000000002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309729.21999999997</v>
      </c>
      <c r="G244" s="18">
        <v>198680.19</v>
      </c>
      <c r="H244" s="18">
        <v>59524.98</v>
      </c>
      <c r="I244" s="18">
        <v>40441.82</v>
      </c>
      <c r="J244" s="18">
        <v>62500.46</v>
      </c>
      <c r="K244" s="18">
        <v>1022.16</v>
      </c>
      <c r="L244" s="19">
        <f t="shared" si="4"/>
        <v>671898.83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163163.53</v>
      </c>
      <c r="G245" s="18">
        <v>83026.7</v>
      </c>
      <c r="H245" s="18">
        <v>109670.01</v>
      </c>
      <c r="I245" s="18">
        <v>29692.12</v>
      </c>
      <c r="J245" s="18">
        <v>31099.67</v>
      </c>
      <c r="K245" s="18">
        <v>1812.83</v>
      </c>
      <c r="L245" s="19">
        <f>SUM(F245:K245)</f>
        <v>418464.86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7920999.9999999991</v>
      </c>
      <c r="G247" s="41">
        <f t="shared" si="5"/>
        <v>3591382.5100000007</v>
      </c>
      <c r="H247" s="41">
        <f t="shared" si="5"/>
        <v>1788131.93</v>
      </c>
      <c r="I247" s="41">
        <f t="shared" si="5"/>
        <v>609761.78</v>
      </c>
      <c r="J247" s="41">
        <f t="shared" si="5"/>
        <v>172942.40999999997</v>
      </c>
      <c r="K247" s="41">
        <f t="shared" si="5"/>
        <v>95919.450000000012</v>
      </c>
      <c r="L247" s="41">
        <f t="shared" si="5"/>
        <v>14179138.08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22838445.59</v>
      </c>
      <c r="G257" s="41">
        <f t="shared" si="8"/>
        <v>9872783.8100000024</v>
      </c>
      <c r="H257" s="41">
        <f t="shared" si="8"/>
        <v>4516924.01</v>
      </c>
      <c r="I257" s="41">
        <f t="shared" si="8"/>
        <v>1384594.25</v>
      </c>
      <c r="J257" s="41">
        <f t="shared" si="8"/>
        <v>429490.52999999997</v>
      </c>
      <c r="K257" s="41">
        <f t="shared" si="8"/>
        <v>124272.05000000002</v>
      </c>
      <c r="L257" s="41">
        <f t="shared" si="8"/>
        <v>39166510.239999995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1135000</v>
      </c>
      <c r="L260" s="19">
        <f>SUM(F260:K260)</f>
        <v>1135000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321691.25</v>
      </c>
      <c r="L261" s="19">
        <f>SUM(F261:K261)</f>
        <v>321691.25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775424.87</v>
      </c>
      <c r="L265" s="19">
        <f t="shared" si="9"/>
        <v>775424.87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200000</v>
      </c>
      <c r="L266" s="19">
        <f t="shared" si="9"/>
        <v>200000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2432116.12</v>
      </c>
      <c r="L270" s="41">
        <f t="shared" si="9"/>
        <v>2432116.12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22838445.59</v>
      </c>
      <c r="G271" s="42">
        <f t="shared" si="11"/>
        <v>9872783.8100000024</v>
      </c>
      <c r="H271" s="42">
        <f t="shared" si="11"/>
        <v>4516924.01</v>
      </c>
      <c r="I271" s="42">
        <f t="shared" si="11"/>
        <v>1384594.25</v>
      </c>
      <c r="J271" s="42">
        <f t="shared" si="11"/>
        <v>429490.52999999997</v>
      </c>
      <c r="K271" s="42">
        <f t="shared" si="11"/>
        <v>2556388.17</v>
      </c>
      <c r="L271" s="42">
        <f t="shared" si="11"/>
        <v>41598626.359999992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60996.72</v>
      </c>
      <c r="G276" s="18">
        <v>12397.53</v>
      </c>
      <c r="H276" s="18"/>
      <c r="I276" s="18"/>
      <c r="J276" s="18"/>
      <c r="K276" s="18"/>
      <c r="L276" s="19">
        <f>SUM(F276:K276)</f>
        <v>73394.25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1380.78</v>
      </c>
      <c r="G277" s="18">
        <v>256</v>
      </c>
      <c r="H277" s="18">
        <v>20570.96</v>
      </c>
      <c r="I277" s="18">
        <v>1303.32</v>
      </c>
      <c r="J277" s="18">
        <v>569.67999999999995</v>
      </c>
      <c r="K277" s="18"/>
      <c r="L277" s="19">
        <f>SUM(F277:K277)</f>
        <v>24080.739999999998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5039.25</v>
      </c>
      <c r="G279" s="18">
        <v>723.69</v>
      </c>
      <c r="H279" s="18">
        <v>0</v>
      </c>
      <c r="I279" s="18">
        <v>1098.46</v>
      </c>
      <c r="J279" s="18"/>
      <c r="K279" s="18"/>
      <c r="L279" s="19">
        <f>SUM(F279:K279)</f>
        <v>6861.4000000000005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1939.45</v>
      </c>
      <c r="I281" s="18"/>
      <c r="J281" s="18"/>
      <c r="K281" s="18"/>
      <c r="L281" s="19">
        <f t="shared" ref="L281:L287" si="12">SUM(F281:K281)</f>
        <v>1939.45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1314.34</v>
      </c>
      <c r="G282" s="18">
        <v>98.63</v>
      </c>
      <c r="H282" s="18">
        <v>7336</v>
      </c>
      <c r="I282" s="18"/>
      <c r="J282" s="18"/>
      <c r="K282" s="18"/>
      <c r="L282" s="19">
        <f t="shared" si="12"/>
        <v>8748.9699999999993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>
        <v>4505.6400000000003</v>
      </c>
      <c r="I288" s="18">
        <v>2734.52</v>
      </c>
      <c r="J288" s="18"/>
      <c r="K288" s="18"/>
      <c r="L288" s="19">
        <f>SUM(F288:K288)</f>
        <v>7240.16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68731.09</v>
      </c>
      <c r="G290" s="42">
        <f t="shared" si="13"/>
        <v>13475.85</v>
      </c>
      <c r="H290" s="42">
        <f t="shared" si="13"/>
        <v>34352.050000000003</v>
      </c>
      <c r="I290" s="42">
        <f t="shared" si="13"/>
        <v>5136.2999999999993</v>
      </c>
      <c r="J290" s="42">
        <f t="shared" si="13"/>
        <v>569.67999999999995</v>
      </c>
      <c r="K290" s="42">
        <f t="shared" si="13"/>
        <v>0</v>
      </c>
      <c r="L290" s="41">
        <f t="shared" si="13"/>
        <v>122264.96999999999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154426.07</v>
      </c>
      <c r="G296" s="18">
        <v>72461.89</v>
      </c>
      <c r="H296" s="18">
        <v>4327.8100000000004</v>
      </c>
      <c r="I296" s="18">
        <v>1233.74</v>
      </c>
      <c r="J296" s="18">
        <v>539.27</v>
      </c>
      <c r="K296" s="18"/>
      <c r="L296" s="19">
        <f>SUM(F296:K296)</f>
        <v>232988.78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4770.2</v>
      </c>
      <c r="G298" s="18">
        <v>685.05</v>
      </c>
      <c r="H298" s="18">
        <v>0</v>
      </c>
      <c r="I298" s="18">
        <v>1039.81</v>
      </c>
      <c r="J298" s="18"/>
      <c r="K298" s="18"/>
      <c r="L298" s="19">
        <f>SUM(F298:K298)</f>
        <v>6495.0599999999995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>
        <v>1835.9</v>
      </c>
      <c r="I300" s="18"/>
      <c r="J300" s="18"/>
      <c r="K300" s="18"/>
      <c r="L300" s="19">
        <f t="shared" ref="L300:L306" si="14">SUM(F300:K300)</f>
        <v>1835.9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1244.1600000000001</v>
      </c>
      <c r="G301" s="18">
        <v>93.37</v>
      </c>
      <c r="H301" s="18">
        <v>6944.33</v>
      </c>
      <c r="I301" s="18"/>
      <c r="J301" s="18"/>
      <c r="K301" s="18"/>
      <c r="L301" s="19">
        <f t="shared" si="14"/>
        <v>8281.86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>
        <v>4265.08</v>
      </c>
      <c r="I307" s="18">
        <v>2509.1999999999998</v>
      </c>
      <c r="J307" s="18"/>
      <c r="K307" s="18"/>
      <c r="L307" s="19">
        <f>SUM(F307:K307)</f>
        <v>6774.28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160440.43000000002</v>
      </c>
      <c r="G309" s="42">
        <f t="shared" si="15"/>
        <v>73240.31</v>
      </c>
      <c r="H309" s="42">
        <f t="shared" si="15"/>
        <v>17373.120000000003</v>
      </c>
      <c r="I309" s="42">
        <f t="shared" si="15"/>
        <v>4782.75</v>
      </c>
      <c r="J309" s="42">
        <f t="shared" si="15"/>
        <v>539.27</v>
      </c>
      <c r="K309" s="42">
        <f t="shared" si="15"/>
        <v>0</v>
      </c>
      <c r="L309" s="41">
        <f t="shared" si="15"/>
        <v>256375.87999999998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127369.24</v>
      </c>
      <c r="G315" s="18">
        <v>68865.37</v>
      </c>
      <c r="H315" s="18">
        <v>5040.3100000000004</v>
      </c>
      <c r="I315" s="18">
        <v>1436.85</v>
      </c>
      <c r="J315" s="18">
        <v>628.04999999999995</v>
      </c>
      <c r="K315" s="18"/>
      <c r="L315" s="19">
        <f>SUM(F315:K315)</f>
        <v>203339.81999999998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5555.54</v>
      </c>
      <c r="G317" s="18">
        <v>797.84</v>
      </c>
      <c r="H317" s="18">
        <v>0</v>
      </c>
      <c r="I317" s="18">
        <v>2813</v>
      </c>
      <c r="J317" s="18"/>
      <c r="K317" s="18"/>
      <c r="L317" s="19">
        <f>SUM(F317:K317)</f>
        <v>9166.380000000001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>
        <v>2138.15</v>
      </c>
      <c r="I319" s="18"/>
      <c r="J319" s="18"/>
      <c r="K319" s="18"/>
      <c r="L319" s="19">
        <f t="shared" ref="L319:L325" si="16">SUM(F319:K319)</f>
        <v>2138.15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1449</v>
      </c>
      <c r="G320" s="18">
        <v>108.74</v>
      </c>
      <c r="H320" s="18">
        <v>8087.6</v>
      </c>
      <c r="I320" s="18"/>
      <c r="J320" s="18"/>
      <c r="K320" s="18"/>
      <c r="L320" s="19">
        <f t="shared" si="16"/>
        <v>9645.34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>
        <v>4967.26</v>
      </c>
      <c r="I326" s="18">
        <v>2794.19</v>
      </c>
      <c r="J326" s="18"/>
      <c r="K326" s="18"/>
      <c r="L326" s="19">
        <f>SUM(F326:K326)</f>
        <v>7761.4500000000007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134373.78</v>
      </c>
      <c r="G328" s="42">
        <f t="shared" si="17"/>
        <v>69771.95</v>
      </c>
      <c r="H328" s="42">
        <f t="shared" si="17"/>
        <v>20233.32</v>
      </c>
      <c r="I328" s="42">
        <f t="shared" si="17"/>
        <v>7044.0400000000009</v>
      </c>
      <c r="J328" s="42">
        <f t="shared" si="17"/>
        <v>628.04999999999995</v>
      </c>
      <c r="K328" s="42">
        <f t="shared" si="17"/>
        <v>0</v>
      </c>
      <c r="L328" s="41">
        <f t="shared" si="17"/>
        <v>232051.13999999998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363545.30000000005</v>
      </c>
      <c r="G338" s="41">
        <f t="shared" si="20"/>
        <v>156488.10999999999</v>
      </c>
      <c r="H338" s="41">
        <f t="shared" si="20"/>
        <v>71958.490000000005</v>
      </c>
      <c r="I338" s="41">
        <f t="shared" si="20"/>
        <v>16963.09</v>
      </c>
      <c r="J338" s="41">
        <f t="shared" si="20"/>
        <v>1736.9999999999998</v>
      </c>
      <c r="K338" s="41">
        <f t="shared" si="20"/>
        <v>0</v>
      </c>
      <c r="L338" s="41">
        <f t="shared" si="20"/>
        <v>610691.99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363545.30000000005</v>
      </c>
      <c r="G352" s="41">
        <f>G338</f>
        <v>156488.10999999999</v>
      </c>
      <c r="H352" s="41">
        <f>H338</f>
        <v>71958.490000000005</v>
      </c>
      <c r="I352" s="41">
        <f>I338</f>
        <v>16963.09</v>
      </c>
      <c r="J352" s="41">
        <f>J338</f>
        <v>1736.9999999999998</v>
      </c>
      <c r="K352" s="47">
        <f>K338+K351</f>
        <v>0</v>
      </c>
      <c r="L352" s="41">
        <f>L338+L351</f>
        <v>610691.99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112178.33</v>
      </c>
      <c r="G358" s="18">
        <v>21545.34</v>
      </c>
      <c r="H358" s="18">
        <v>3541.43</v>
      </c>
      <c r="I358" s="18">
        <v>94934.98</v>
      </c>
      <c r="J358" s="18">
        <v>884.5</v>
      </c>
      <c r="K358" s="18">
        <v>192.57</v>
      </c>
      <c r="L358" s="13">
        <f>SUM(F358:K358)</f>
        <v>233277.15000000002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106189.01</v>
      </c>
      <c r="G359" s="18">
        <v>20395.009999999998</v>
      </c>
      <c r="H359" s="18">
        <v>3254.23</v>
      </c>
      <c r="I359" s="18">
        <v>103400.39</v>
      </c>
      <c r="J359" s="18">
        <v>837.28</v>
      </c>
      <c r="K359" s="18">
        <v>146.49</v>
      </c>
      <c r="L359" s="19">
        <f>SUM(F359:K359)</f>
        <v>234222.40999999997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123671.36</v>
      </c>
      <c r="G360" s="18">
        <v>23752.720000000001</v>
      </c>
      <c r="H360" s="18">
        <v>5107.38</v>
      </c>
      <c r="I360" s="18">
        <v>112220.76</v>
      </c>
      <c r="J360" s="18">
        <v>975.12</v>
      </c>
      <c r="K360" s="18">
        <v>278.44</v>
      </c>
      <c r="L360" s="19">
        <f>SUM(F360:K360)</f>
        <v>266005.78000000003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342038.7</v>
      </c>
      <c r="G362" s="47">
        <f t="shared" si="22"/>
        <v>65693.070000000007</v>
      </c>
      <c r="H362" s="47">
        <f t="shared" si="22"/>
        <v>11903.04</v>
      </c>
      <c r="I362" s="47">
        <f t="shared" si="22"/>
        <v>310556.13</v>
      </c>
      <c r="J362" s="47">
        <f t="shared" si="22"/>
        <v>2696.9</v>
      </c>
      <c r="K362" s="47">
        <f t="shared" si="22"/>
        <v>617.5</v>
      </c>
      <c r="L362" s="47">
        <f t="shared" si="22"/>
        <v>733505.34000000008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89071.98</v>
      </c>
      <c r="G367" s="18">
        <v>98108.89</v>
      </c>
      <c r="H367" s="18">
        <v>103683</v>
      </c>
      <c r="I367" s="56">
        <f>SUM(F367:H367)</f>
        <v>290863.87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5863</v>
      </c>
      <c r="G368" s="63">
        <v>5291.5</v>
      </c>
      <c r="H368" s="63">
        <v>8537.76</v>
      </c>
      <c r="I368" s="56">
        <f>SUM(F368:H368)</f>
        <v>19692.260000000002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94934.98</v>
      </c>
      <c r="G369" s="47">
        <f>SUM(G367:G368)</f>
        <v>103400.39</v>
      </c>
      <c r="H369" s="47">
        <f>SUM(H367:H368)</f>
        <v>112220.76</v>
      </c>
      <c r="I369" s="47">
        <f>SUM(I367:I368)</f>
        <v>310556.13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>
        <v>1083349.83</v>
      </c>
      <c r="I375" s="18"/>
      <c r="J375" s="18"/>
      <c r="K375" s="18"/>
      <c r="L375" s="13">
        <f t="shared" ref="L375:L381" si="23">SUM(F375:K375)</f>
        <v>1083349.83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1083349.83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1083349.83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>
        <v>200000</v>
      </c>
      <c r="H389" s="18"/>
      <c r="I389" s="18">
        <v>9053.06</v>
      </c>
      <c r="J389" s="24" t="s">
        <v>288</v>
      </c>
      <c r="K389" s="24" t="s">
        <v>288</v>
      </c>
      <c r="L389" s="56">
        <f t="shared" si="25"/>
        <v>209053.06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200000</v>
      </c>
      <c r="H393" s="139">
        <f>SUM(H387:H392)</f>
        <v>0</v>
      </c>
      <c r="I393" s="65">
        <f>SUM(I387:I392)</f>
        <v>9053.06</v>
      </c>
      <c r="J393" s="45" t="s">
        <v>288</v>
      </c>
      <c r="K393" s="45" t="s">
        <v>288</v>
      </c>
      <c r="L393" s="47">
        <f>SUM(L387:L392)</f>
        <v>209053.06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54.03</v>
      </c>
      <c r="I396" s="18">
        <v>2482.54</v>
      </c>
      <c r="J396" s="24" t="s">
        <v>288</v>
      </c>
      <c r="K396" s="24" t="s">
        <v>288</v>
      </c>
      <c r="L396" s="56">
        <f t="shared" si="26"/>
        <v>2536.5700000000002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>
        <v>14984.54</v>
      </c>
      <c r="J397" s="24" t="s">
        <v>288</v>
      </c>
      <c r="K397" s="24" t="s">
        <v>288</v>
      </c>
      <c r="L397" s="56">
        <f t="shared" si="26"/>
        <v>14984.54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>
        <v>13909.16</v>
      </c>
      <c r="J400" s="24" t="s">
        <v>288</v>
      </c>
      <c r="K400" s="24" t="s">
        <v>288</v>
      </c>
      <c r="L400" s="56">
        <f t="shared" si="26"/>
        <v>13909.16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54.03</v>
      </c>
      <c r="I401" s="47">
        <f>SUM(I395:I400)</f>
        <v>31376.240000000002</v>
      </c>
      <c r="J401" s="45" t="s">
        <v>288</v>
      </c>
      <c r="K401" s="45" t="s">
        <v>288</v>
      </c>
      <c r="L401" s="47">
        <f>SUM(L395:L400)</f>
        <v>31430.27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200000</v>
      </c>
      <c r="H408" s="47">
        <f>H393+H401+H407</f>
        <v>54.03</v>
      </c>
      <c r="I408" s="47">
        <f>I393+I401+I407</f>
        <v>40429.300000000003</v>
      </c>
      <c r="J408" s="24" t="s">
        <v>288</v>
      </c>
      <c r="K408" s="24" t="s">
        <v>288</v>
      </c>
      <c r="L408" s="47">
        <f>L393+L401+L407</f>
        <v>240483.33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>
        <v>284674.68</v>
      </c>
      <c r="L422" s="56">
        <f t="shared" si="29"/>
        <v>284674.68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>
        <v>8500</v>
      </c>
      <c r="L426" s="56">
        <f t="shared" si="29"/>
        <v>8500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293174.68</v>
      </c>
      <c r="L427" s="47">
        <f t="shared" si="30"/>
        <v>293174.68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293174.68</v>
      </c>
      <c r="L434" s="47">
        <f t="shared" si="32"/>
        <v>293174.68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264137.78000000003</v>
      </c>
      <c r="G440" s="18">
        <v>851737.3</v>
      </c>
      <c r="H440" s="18"/>
      <c r="I440" s="56">
        <f t="shared" si="33"/>
        <v>1115875.08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264137.78000000003</v>
      </c>
      <c r="G446" s="13">
        <f>SUM(G439:G445)</f>
        <v>851737.3</v>
      </c>
      <c r="H446" s="13">
        <f>SUM(H439:H445)</f>
        <v>0</v>
      </c>
      <c r="I446" s="13">
        <f>SUM(I439:I445)</f>
        <v>1115875.08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>
        <v>576</v>
      </c>
      <c r="H448" s="18"/>
      <c r="I448" s="56">
        <f>SUM(F448:H448)</f>
        <v>576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>
        <v>8500</v>
      </c>
      <c r="H449" s="18"/>
      <c r="I449" s="56">
        <f>SUM(F449:H449)</f>
        <v>8500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9076</v>
      </c>
      <c r="H452" s="72">
        <f>SUM(H448:H451)</f>
        <v>0</v>
      </c>
      <c r="I452" s="72">
        <f>SUM(I448:I451)</f>
        <v>9076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264137.78000000003</v>
      </c>
      <c r="G459" s="18">
        <v>842661.3</v>
      </c>
      <c r="H459" s="18"/>
      <c r="I459" s="56">
        <f t="shared" si="34"/>
        <v>1106799.08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264137.78000000003</v>
      </c>
      <c r="G460" s="83">
        <f>SUM(G454:G459)</f>
        <v>842661.3</v>
      </c>
      <c r="H460" s="83">
        <f>SUM(H454:H459)</f>
        <v>0</v>
      </c>
      <c r="I460" s="83">
        <f>SUM(I454:I459)</f>
        <v>1106799.08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264137.78000000003</v>
      </c>
      <c r="G461" s="42">
        <f>G452+G460</f>
        <v>851737.3</v>
      </c>
      <c r="H461" s="42">
        <f>H452+H460</f>
        <v>0</v>
      </c>
      <c r="I461" s="42">
        <f>I452+I460</f>
        <v>1115875.08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2190739.1499999985</v>
      </c>
      <c r="G465" s="18">
        <v>20.39000000001397</v>
      </c>
      <c r="H465" s="18">
        <v>48865.79999999993</v>
      </c>
      <c r="I465" s="18">
        <v>-127837.52000000002</v>
      </c>
      <c r="J465" s="18">
        <v>1159490.4300000002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40314723.740000002</v>
      </c>
      <c r="G468" s="18">
        <v>751494.94000000006</v>
      </c>
      <c r="H468" s="18">
        <v>673914.09</v>
      </c>
      <c r="I468" s="18">
        <v>1211187.3500000001</v>
      </c>
      <c r="J468" s="18">
        <v>240483.33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40314723.740000002</v>
      </c>
      <c r="G470" s="53">
        <f>SUM(G468:G469)</f>
        <v>751494.94000000006</v>
      </c>
      <c r="H470" s="53">
        <f>SUM(H468:H469)</f>
        <v>673914.09</v>
      </c>
      <c r="I470" s="53">
        <f>SUM(I468:I469)</f>
        <v>1211187.3500000001</v>
      </c>
      <c r="J470" s="53">
        <f>SUM(J468:J469)</f>
        <v>240483.33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41598626.359999992</v>
      </c>
      <c r="G472" s="18">
        <v>733505.34000000008</v>
      </c>
      <c r="H472" s="18">
        <v>610691.99</v>
      </c>
      <c r="I472" s="18">
        <v>1083349.83</v>
      </c>
      <c r="J472" s="18">
        <v>293174.68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41598626.359999992</v>
      </c>
      <c r="G474" s="53">
        <f>SUM(G472:G473)</f>
        <v>733505.34000000008</v>
      </c>
      <c r="H474" s="53">
        <f>SUM(H472:H473)</f>
        <v>610691.99</v>
      </c>
      <c r="I474" s="53">
        <f>SUM(I472:I473)</f>
        <v>1083349.83</v>
      </c>
      <c r="J474" s="53">
        <f>SUM(J472:J473)</f>
        <v>293174.68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906836.53000000864</v>
      </c>
      <c r="G476" s="53">
        <f>(G465+G470)- G474</f>
        <v>18009.989999999991</v>
      </c>
      <c r="H476" s="53">
        <f>(H465+H470)- H474</f>
        <v>112087.89999999991</v>
      </c>
      <c r="I476" s="53">
        <f>(I465+I470)- I474</f>
        <v>0</v>
      </c>
      <c r="J476" s="53">
        <f>(J465+J470)- J474</f>
        <v>1106799.0800000003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10</v>
      </c>
      <c r="G490" s="154"/>
      <c r="H490" s="154"/>
      <c r="I490" s="154">
        <v>20</v>
      </c>
      <c r="J490" s="154">
        <v>20</v>
      </c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916</v>
      </c>
      <c r="G491" s="155"/>
      <c r="H491" s="154"/>
      <c r="I491" s="154" t="s">
        <v>912</v>
      </c>
      <c r="J491" s="154" t="s">
        <v>913</v>
      </c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917</v>
      </c>
      <c r="G492" s="155"/>
      <c r="H492" s="154"/>
      <c r="I492" s="154" t="s">
        <v>914</v>
      </c>
      <c r="J492" s="154" t="s">
        <v>915</v>
      </c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1500000</v>
      </c>
      <c r="G493" s="18"/>
      <c r="H493" s="18"/>
      <c r="I493" s="18">
        <v>2300000</v>
      </c>
      <c r="J493" s="18">
        <v>20406711</v>
      </c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1.88</v>
      </c>
      <c r="G494" s="18"/>
      <c r="H494" s="18"/>
      <c r="I494" s="18">
        <v>4.22</v>
      </c>
      <c r="J494" s="18">
        <v>4.09</v>
      </c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1500000</v>
      </c>
      <c r="G495" s="18"/>
      <c r="H495" s="18"/>
      <c r="I495" s="18">
        <v>690000</v>
      </c>
      <c r="J495" s="18">
        <v>7140000</v>
      </c>
      <c r="K495" s="53">
        <f>SUM(F495:J495)</f>
        <v>9330000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>
        <v>115000</v>
      </c>
      <c r="J497" s="18">
        <v>1020000</v>
      </c>
      <c r="K497" s="53">
        <f t="shared" si="35"/>
        <v>1135000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1500000</v>
      </c>
      <c r="G498" s="204"/>
      <c r="H498" s="204"/>
      <c r="I498" s="204">
        <v>575000</v>
      </c>
      <c r="J498" s="204">
        <v>6120000</v>
      </c>
      <c r="K498" s="205">
        <f t="shared" si="35"/>
        <v>8195000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153593.43</v>
      </c>
      <c r="G499" s="18"/>
      <c r="H499" s="18"/>
      <c r="I499" s="18">
        <v>66700</v>
      </c>
      <c r="J499" s="18">
        <v>834870</v>
      </c>
      <c r="K499" s="53">
        <f t="shared" si="35"/>
        <v>1055163.43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1653593.43</v>
      </c>
      <c r="G500" s="42">
        <f>SUM(G498:G499)</f>
        <v>0</v>
      </c>
      <c r="H500" s="42">
        <f>SUM(H498:H499)</f>
        <v>0</v>
      </c>
      <c r="I500" s="42">
        <f>SUM(I498:I499)</f>
        <v>641700</v>
      </c>
      <c r="J500" s="42">
        <f>SUM(J498:J499)</f>
        <v>6954870</v>
      </c>
      <c r="K500" s="42">
        <f t="shared" si="35"/>
        <v>9250163.4299999997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150000</v>
      </c>
      <c r="G501" s="204"/>
      <c r="H501" s="204"/>
      <c r="I501" s="204">
        <v>115000</v>
      </c>
      <c r="J501" s="204">
        <v>1020000</v>
      </c>
      <c r="K501" s="205">
        <f t="shared" si="35"/>
        <v>1285000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28431.78</v>
      </c>
      <c r="G502" s="18"/>
      <c r="H502" s="18"/>
      <c r="I502" s="18">
        <v>23862.5</v>
      </c>
      <c r="J502" s="18">
        <v>250920</v>
      </c>
      <c r="K502" s="53">
        <f t="shared" si="35"/>
        <v>303214.28000000003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178431.78</v>
      </c>
      <c r="G503" s="42">
        <f>SUM(G501:G502)</f>
        <v>0</v>
      </c>
      <c r="H503" s="42">
        <f>SUM(H501:H502)</f>
        <v>0</v>
      </c>
      <c r="I503" s="42">
        <f>SUM(I501:I502)</f>
        <v>138862.5</v>
      </c>
      <c r="J503" s="42">
        <f>SUM(J501:J502)</f>
        <v>1270920</v>
      </c>
      <c r="K503" s="42">
        <f t="shared" si="35"/>
        <v>1588214.28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1269585.56</v>
      </c>
      <c r="G521" s="18">
        <v>470455.06999999995</v>
      </c>
      <c r="H521" s="18">
        <v>346907.24</v>
      </c>
      <c r="I521" s="18">
        <v>10454.81</v>
      </c>
      <c r="J521" s="18">
        <v>1399.99</v>
      </c>
      <c r="K521" s="18">
        <v>4270.3999999999996</v>
      </c>
      <c r="L521" s="88">
        <f>SUM(F521:K521)</f>
        <v>2103073.0699999998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1483529.9</v>
      </c>
      <c r="G522" s="18">
        <v>581336.54000000015</v>
      </c>
      <c r="H522" s="18">
        <v>277453.62</v>
      </c>
      <c r="I522" s="18">
        <v>10288.719999999999</v>
      </c>
      <c r="J522" s="18">
        <v>474.91999999999996</v>
      </c>
      <c r="K522" s="18">
        <v>4042.39</v>
      </c>
      <c r="L522" s="88">
        <f>SUM(F522:K522)</f>
        <v>2357126.0900000003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1363121.4899999998</v>
      </c>
      <c r="G523" s="18">
        <v>588334.81000000006</v>
      </c>
      <c r="H523" s="18">
        <v>392369.49</v>
      </c>
      <c r="I523" s="18">
        <v>11105.66</v>
      </c>
      <c r="J523" s="18">
        <v>448.84</v>
      </c>
      <c r="K523" s="18">
        <v>4707.91</v>
      </c>
      <c r="L523" s="88">
        <f>SUM(F523:K523)</f>
        <v>2360088.2000000002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4116236.9499999997</v>
      </c>
      <c r="G524" s="108">
        <f t="shared" ref="G524:L524" si="36">SUM(G521:G523)</f>
        <v>1640126.4200000002</v>
      </c>
      <c r="H524" s="108">
        <f t="shared" si="36"/>
        <v>1016730.35</v>
      </c>
      <c r="I524" s="108">
        <f t="shared" si="36"/>
        <v>31849.19</v>
      </c>
      <c r="J524" s="108">
        <f t="shared" si="36"/>
        <v>2323.75</v>
      </c>
      <c r="K524" s="108">
        <f t="shared" si="36"/>
        <v>13020.699999999999</v>
      </c>
      <c r="L524" s="89">
        <f t="shared" si="36"/>
        <v>6820287.3600000003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443988.45999999996</v>
      </c>
      <c r="G526" s="18">
        <v>162883.78</v>
      </c>
      <c r="H526" s="18">
        <v>178263.12</v>
      </c>
      <c r="I526" s="18">
        <v>5857.6799999999994</v>
      </c>
      <c r="J526" s="18">
        <v>470.87</v>
      </c>
      <c r="K526" s="18"/>
      <c r="L526" s="88">
        <f>SUM(F526:K526)</f>
        <v>791463.91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229778.89</v>
      </c>
      <c r="G527" s="18">
        <v>96883.520000000004</v>
      </c>
      <c r="H527" s="18">
        <v>170985.83000000002</v>
      </c>
      <c r="I527" s="18">
        <v>2710.1</v>
      </c>
      <c r="J527" s="18">
        <v>1425.53</v>
      </c>
      <c r="K527" s="18"/>
      <c r="L527" s="88">
        <f>SUM(F527:K527)</f>
        <v>501783.87000000005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230827.63999999998</v>
      </c>
      <c r="G528" s="18">
        <v>91542.489999999991</v>
      </c>
      <c r="H528" s="18">
        <v>200984.89</v>
      </c>
      <c r="I528" s="18">
        <v>1679.8700000000001</v>
      </c>
      <c r="J528" s="18">
        <v>2925.39</v>
      </c>
      <c r="K528" s="18"/>
      <c r="L528" s="88">
        <f>SUM(F528:K528)</f>
        <v>527960.28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904594.99</v>
      </c>
      <c r="G529" s="89">
        <f t="shared" ref="G529:L529" si="37">SUM(G526:G528)</f>
        <v>351309.79</v>
      </c>
      <c r="H529" s="89">
        <f t="shared" si="37"/>
        <v>550233.84000000008</v>
      </c>
      <c r="I529" s="89">
        <f t="shared" si="37"/>
        <v>10247.65</v>
      </c>
      <c r="J529" s="89">
        <f t="shared" si="37"/>
        <v>4821.79</v>
      </c>
      <c r="K529" s="89">
        <f t="shared" si="37"/>
        <v>0</v>
      </c>
      <c r="L529" s="89">
        <f t="shared" si="37"/>
        <v>1821208.06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46794.43</v>
      </c>
      <c r="G531" s="18">
        <v>21793.279999999999</v>
      </c>
      <c r="H531" s="18">
        <v>2830.26</v>
      </c>
      <c r="I531" s="18">
        <v>505.2</v>
      </c>
      <c r="J531" s="18">
        <v>0</v>
      </c>
      <c r="K531" s="18">
        <v>706.77</v>
      </c>
      <c r="L531" s="88">
        <f>SUM(F531:K531)</f>
        <v>72629.939999999988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125036.03</v>
      </c>
      <c r="G532" s="18">
        <v>66704.36</v>
      </c>
      <c r="H532" s="18">
        <v>2679.15</v>
      </c>
      <c r="I532" s="18">
        <v>478.23</v>
      </c>
      <c r="J532" s="18">
        <v>0</v>
      </c>
      <c r="K532" s="18">
        <v>669.04</v>
      </c>
      <c r="L532" s="88">
        <f>SUM(F532:K532)</f>
        <v>195566.81000000003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134978.66</v>
      </c>
      <c r="G533" s="18">
        <v>70524.61</v>
      </c>
      <c r="H533" s="18">
        <v>3120.23</v>
      </c>
      <c r="I533" s="18">
        <v>556.96</v>
      </c>
      <c r="J533" s="18">
        <v>0</v>
      </c>
      <c r="K533" s="18">
        <v>779.19</v>
      </c>
      <c r="L533" s="88">
        <f>SUM(F533:K533)</f>
        <v>209959.65000000002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306809.12</v>
      </c>
      <c r="G534" s="89">
        <f t="shared" ref="G534:L534" si="38">SUM(G531:G533)</f>
        <v>159022.25</v>
      </c>
      <c r="H534" s="89">
        <f t="shared" si="38"/>
        <v>8629.64</v>
      </c>
      <c r="I534" s="89">
        <f t="shared" si="38"/>
        <v>1540.39</v>
      </c>
      <c r="J534" s="89">
        <f t="shared" si="38"/>
        <v>0</v>
      </c>
      <c r="K534" s="89">
        <f t="shared" si="38"/>
        <v>2155</v>
      </c>
      <c r="L534" s="89">
        <f t="shared" si="38"/>
        <v>478156.4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2794.05</v>
      </c>
      <c r="I536" s="18"/>
      <c r="J536" s="18"/>
      <c r="K536" s="18"/>
      <c r="L536" s="88">
        <f>SUM(F536:K536)</f>
        <v>2794.05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2644.87</v>
      </c>
      <c r="I537" s="18"/>
      <c r="J537" s="18"/>
      <c r="K537" s="18"/>
      <c r="L537" s="88">
        <f>SUM(F537:K537)</f>
        <v>2644.87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3080.3</v>
      </c>
      <c r="I538" s="18"/>
      <c r="J538" s="18"/>
      <c r="K538" s="18"/>
      <c r="L538" s="88">
        <f>SUM(F538:K538)</f>
        <v>3080.3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8519.2200000000012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8519.2200000000012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63208.77</v>
      </c>
      <c r="G541" s="18">
        <v>32932.1</v>
      </c>
      <c r="H541" s="18">
        <v>5582.89</v>
      </c>
      <c r="I541" s="18">
        <v>6772.55</v>
      </c>
      <c r="J541" s="18"/>
      <c r="K541" s="18"/>
      <c r="L541" s="88">
        <f>SUM(F541:K541)</f>
        <v>108496.31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59833.98</v>
      </c>
      <c r="G542" s="18">
        <v>31173.82</v>
      </c>
      <c r="H542" s="18">
        <v>5284.81</v>
      </c>
      <c r="I542" s="18">
        <v>6410.96</v>
      </c>
      <c r="J542" s="18"/>
      <c r="K542" s="18"/>
      <c r="L542" s="88">
        <f>SUM(F542:K542)</f>
        <v>102703.57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69684.7</v>
      </c>
      <c r="G543" s="18">
        <v>36306.1</v>
      </c>
      <c r="H543" s="18">
        <v>6154.87</v>
      </c>
      <c r="I543" s="18">
        <v>7466.42</v>
      </c>
      <c r="J543" s="18"/>
      <c r="K543" s="18"/>
      <c r="L543" s="88">
        <f>SUM(F543:K543)</f>
        <v>119612.08999999998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192727.45</v>
      </c>
      <c r="G544" s="193">
        <f t="shared" ref="G544:L544" si="40">SUM(G541:G543)</f>
        <v>100412.01999999999</v>
      </c>
      <c r="H544" s="193">
        <f t="shared" si="40"/>
        <v>17022.57</v>
      </c>
      <c r="I544" s="193">
        <f t="shared" si="40"/>
        <v>20649.93</v>
      </c>
      <c r="J544" s="193">
        <f t="shared" si="40"/>
        <v>0</v>
      </c>
      <c r="K544" s="193">
        <f t="shared" si="40"/>
        <v>0</v>
      </c>
      <c r="L544" s="193">
        <f t="shared" si="40"/>
        <v>330811.96999999997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5520368.5099999998</v>
      </c>
      <c r="G545" s="89">
        <f t="shared" ref="G545:L545" si="41">G524+G529+G534+G539+G544</f>
        <v>2250870.48</v>
      </c>
      <c r="H545" s="89">
        <f t="shared" si="41"/>
        <v>1601135.6199999999</v>
      </c>
      <c r="I545" s="89">
        <f t="shared" si="41"/>
        <v>64287.159999999996</v>
      </c>
      <c r="J545" s="89">
        <f t="shared" si="41"/>
        <v>7145.54</v>
      </c>
      <c r="K545" s="89">
        <f t="shared" si="41"/>
        <v>15175.699999999999</v>
      </c>
      <c r="L545" s="89">
        <f t="shared" si="41"/>
        <v>9458983.0100000016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2103073.0699999998</v>
      </c>
      <c r="G549" s="87">
        <f>L526</f>
        <v>791463.91</v>
      </c>
      <c r="H549" s="87">
        <f>L531</f>
        <v>72629.939999999988</v>
      </c>
      <c r="I549" s="87">
        <f>L536</f>
        <v>2794.05</v>
      </c>
      <c r="J549" s="87">
        <f>L541</f>
        <v>108496.31</v>
      </c>
      <c r="K549" s="87">
        <f>SUM(F549:J549)</f>
        <v>3078457.28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2357126.0900000003</v>
      </c>
      <c r="G550" s="87">
        <f>L527</f>
        <v>501783.87000000005</v>
      </c>
      <c r="H550" s="87">
        <f>L532</f>
        <v>195566.81000000003</v>
      </c>
      <c r="I550" s="87">
        <f>L537</f>
        <v>2644.87</v>
      </c>
      <c r="J550" s="87">
        <f>L542</f>
        <v>102703.57</v>
      </c>
      <c r="K550" s="87">
        <f>SUM(F550:J550)</f>
        <v>3159825.2100000004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2360088.2000000002</v>
      </c>
      <c r="G551" s="87">
        <f>L528</f>
        <v>527960.28</v>
      </c>
      <c r="H551" s="87">
        <f>L533</f>
        <v>209959.65000000002</v>
      </c>
      <c r="I551" s="87">
        <f>L538</f>
        <v>3080.3</v>
      </c>
      <c r="J551" s="87">
        <f>L543</f>
        <v>119612.08999999998</v>
      </c>
      <c r="K551" s="87">
        <f>SUM(F551:J551)</f>
        <v>3220700.52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6820287.3600000003</v>
      </c>
      <c r="G552" s="89">
        <f t="shared" si="42"/>
        <v>1821208.06</v>
      </c>
      <c r="H552" s="89">
        <f t="shared" si="42"/>
        <v>478156.4</v>
      </c>
      <c r="I552" s="89">
        <f t="shared" si="42"/>
        <v>8519.2200000000012</v>
      </c>
      <c r="J552" s="89">
        <f t="shared" si="42"/>
        <v>330811.96999999997</v>
      </c>
      <c r="K552" s="89">
        <f t="shared" si="42"/>
        <v>9458983.0099999998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83928.09</v>
      </c>
      <c r="G562" s="18">
        <v>19874.770000000004</v>
      </c>
      <c r="H562" s="18">
        <v>706.46</v>
      </c>
      <c r="I562" s="18">
        <v>519.07000000000005</v>
      </c>
      <c r="J562" s="18">
        <v>569.67999999999995</v>
      </c>
      <c r="K562" s="18"/>
      <c r="L562" s="88">
        <f>SUM(F562:K562)</f>
        <v>105598.07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217.32</v>
      </c>
      <c r="G563" s="18">
        <v>16.63</v>
      </c>
      <c r="H563" s="18">
        <v>30444.240000000002</v>
      </c>
      <c r="I563" s="18">
        <v>319.05</v>
      </c>
      <c r="J563" s="18">
        <v>539.27</v>
      </c>
      <c r="K563" s="18"/>
      <c r="L563" s="88">
        <f>SUM(F563:K563)</f>
        <v>31536.510000000002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253.1</v>
      </c>
      <c r="G564" s="18">
        <v>19.36</v>
      </c>
      <c r="H564" s="18">
        <v>30554.34</v>
      </c>
      <c r="I564" s="18">
        <v>371.57</v>
      </c>
      <c r="J564" s="18">
        <v>628.04999999999995</v>
      </c>
      <c r="K564" s="18"/>
      <c r="L564" s="88">
        <f>SUM(F564:K564)</f>
        <v>31826.42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84398.510000000009</v>
      </c>
      <c r="G565" s="89">
        <f t="shared" si="44"/>
        <v>19910.760000000006</v>
      </c>
      <c r="H565" s="89">
        <f t="shared" si="44"/>
        <v>61705.04</v>
      </c>
      <c r="I565" s="89">
        <f t="shared" si="44"/>
        <v>1209.69</v>
      </c>
      <c r="J565" s="89">
        <f t="shared" si="44"/>
        <v>1736.9999999999998</v>
      </c>
      <c r="K565" s="89">
        <f t="shared" si="44"/>
        <v>0</v>
      </c>
      <c r="L565" s="89">
        <f t="shared" si="44"/>
        <v>168961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84398.510000000009</v>
      </c>
      <c r="G571" s="89">
        <f t="shared" ref="G571:L571" si="46">G560+G565+G570</f>
        <v>19910.760000000006</v>
      </c>
      <c r="H571" s="89">
        <f t="shared" si="46"/>
        <v>61705.04</v>
      </c>
      <c r="I571" s="89">
        <f t="shared" si="46"/>
        <v>1209.69</v>
      </c>
      <c r="J571" s="89">
        <f t="shared" si="46"/>
        <v>1736.9999999999998</v>
      </c>
      <c r="K571" s="89">
        <f t="shared" si="46"/>
        <v>0</v>
      </c>
      <c r="L571" s="89">
        <f t="shared" si="46"/>
        <v>168961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367950.95</v>
      </c>
      <c r="G579" s="18">
        <v>189972.37</v>
      </c>
      <c r="H579" s="18">
        <v>176581.7</v>
      </c>
      <c r="I579" s="87">
        <f t="shared" si="47"/>
        <v>734505.02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>
        <v>6425</v>
      </c>
      <c r="H580" s="18">
        <v>39342.82</v>
      </c>
      <c r="I580" s="87">
        <f t="shared" si="47"/>
        <v>45767.82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15844.04</v>
      </c>
      <c r="I584" s="87">
        <f t="shared" si="47"/>
        <v>15844.04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409643.05</v>
      </c>
      <c r="I591" s="18">
        <f>397898.27+0.02</f>
        <v>397898.29000000004</v>
      </c>
      <c r="J591" s="18">
        <f>458088.54-0.01</f>
        <v>458088.52999999997</v>
      </c>
      <c r="K591" s="104">
        <f t="shared" ref="K591:K597" si="48">SUM(H591:J591)</f>
        <v>1265629.8700000001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114361.94</v>
      </c>
      <c r="I592" s="18">
        <v>108028.77</v>
      </c>
      <c r="J592" s="18">
        <v>125225.76999999999</v>
      </c>
      <c r="K592" s="104">
        <f t="shared" si="48"/>
        <v>347616.48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38835.08</v>
      </c>
      <c r="K593" s="104">
        <f t="shared" si="48"/>
        <v>38835.08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14184.480000000001</v>
      </c>
      <c r="I594" s="18">
        <v>13398.96</v>
      </c>
      <c r="J594" s="18">
        <v>15531.93</v>
      </c>
      <c r="K594" s="104">
        <f t="shared" si="48"/>
        <v>43115.37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17413.18</v>
      </c>
      <c r="I595" s="18">
        <v>16794.78</v>
      </c>
      <c r="J595" s="18">
        <v>14907.77</v>
      </c>
      <c r="K595" s="104">
        <f t="shared" si="48"/>
        <v>49115.729999999996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17634.550000000003</v>
      </c>
      <c r="I597" s="18">
        <v>16657.97</v>
      </c>
      <c r="J597" s="18">
        <v>19309.75</v>
      </c>
      <c r="K597" s="104">
        <f t="shared" si="48"/>
        <v>53602.270000000004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573237.20000000007</v>
      </c>
      <c r="I598" s="108">
        <f>SUM(I591:I597)</f>
        <v>552778.77</v>
      </c>
      <c r="J598" s="108">
        <f>SUM(J591:J597)</f>
        <v>671898.83</v>
      </c>
      <c r="K598" s="108">
        <f>SUM(K591:K597)</f>
        <v>1797914.8000000003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130875.88</v>
      </c>
      <c r="I604" s="18">
        <v>126781.19</v>
      </c>
      <c r="J604" s="18">
        <v>173570.46</v>
      </c>
      <c r="K604" s="104">
        <f>SUM(H604:J604)</f>
        <v>431227.53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130875.88</v>
      </c>
      <c r="I605" s="108">
        <f>SUM(I602:I604)</f>
        <v>126781.19</v>
      </c>
      <c r="J605" s="108">
        <f>SUM(J602:J604)</f>
        <v>173570.46</v>
      </c>
      <c r="K605" s="108">
        <f>SUM(K602:K604)</f>
        <v>431227.53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45187.93</v>
      </c>
      <c r="G611" s="18">
        <v>5928.6600000000008</v>
      </c>
      <c r="H611" s="18">
        <v>15300</v>
      </c>
      <c r="I611" s="18">
        <v>191.45</v>
      </c>
      <c r="J611" s="18"/>
      <c r="K611" s="18"/>
      <c r="L611" s="88">
        <f>SUM(F611:K611)</f>
        <v>66608.039999999994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49727.64</v>
      </c>
      <c r="G612" s="18">
        <v>6840.119999999999</v>
      </c>
      <c r="H612" s="18">
        <v>5367.22</v>
      </c>
      <c r="I612" s="18">
        <v>360.08</v>
      </c>
      <c r="J612" s="18"/>
      <c r="K612" s="18"/>
      <c r="L612" s="88">
        <f>SUM(F612:K612)</f>
        <v>62295.06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30483.41</v>
      </c>
      <c r="G613" s="18">
        <v>3443.1</v>
      </c>
      <c r="H613" s="18">
        <v>9296.58</v>
      </c>
      <c r="I613" s="18">
        <v>256.68</v>
      </c>
      <c r="J613" s="18"/>
      <c r="K613" s="18"/>
      <c r="L613" s="88">
        <f>SUM(F613:K613)</f>
        <v>43479.770000000004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125398.98000000001</v>
      </c>
      <c r="G614" s="108">
        <f t="shared" si="49"/>
        <v>16211.88</v>
      </c>
      <c r="H614" s="108">
        <f t="shared" si="49"/>
        <v>29963.800000000003</v>
      </c>
      <c r="I614" s="108">
        <f t="shared" si="49"/>
        <v>808.21</v>
      </c>
      <c r="J614" s="108">
        <f t="shared" si="49"/>
        <v>0</v>
      </c>
      <c r="K614" s="108">
        <f t="shared" si="49"/>
        <v>0</v>
      </c>
      <c r="L614" s="89">
        <f t="shared" si="49"/>
        <v>172382.87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1871954.84</v>
      </c>
      <c r="H617" s="109">
        <f>SUM(F52)</f>
        <v>1871954.84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51322.32</v>
      </c>
      <c r="H618" s="109">
        <f>SUM(G52)</f>
        <v>51322.320000000007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134904.44</v>
      </c>
      <c r="H619" s="109">
        <f>SUM(H52)</f>
        <v>134904.44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1115875.08</v>
      </c>
      <c r="H621" s="109">
        <f>SUM(J52)</f>
        <v>1115875.08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906836.53</v>
      </c>
      <c r="H622" s="109">
        <f>F476</f>
        <v>906836.53000000864</v>
      </c>
      <c r="I622" s="121" t="s">
        <v>101</v>
      </c>
      <c r="J622" s="109">
        <f t="shared" ref="J622:J655" si="50">G622-H622</f>
        <v>-8.6147338151931763E-9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18009.990000000002</v>
      </c>
      <c r="H623" s="109">
        <f>G476</f>
        <v>18009.989999999991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112087.9</v>
      </c>
      <c r="H624" s="109">
        <f>H476</f>
        <v>112087.89999999991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1106799.08</v>
      </c>
      <c r="H626" s="109">
        <f>J476</f>
        <v>1106799.0800000003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40314723.740000002</v>
      </c>
      <c r="H627" s="104">
        <f>SUM(F468)</f>
        <v>40314723.740000002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751494.94000000006</v>
      </c>
      <c r="H628" s="104">
        <f>SUM(G468)</f>
        <v>751494.94000000006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673914.09</v>
      </c>
      <c r="H629" s="104">
        <f>SUM(H468)</f>
        <v>673914.09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1211187.3500000001</v>
      </c>
      <c r="H630" s="104">
        <f>SUM(I468)</f>
        <v>1211187.3500000001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240483.33000000002</v>
      </c>
      <c r="H631" s="104">
        <f>SUM(J468)</f>
        <v>240483.33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41598626.359999992</v>
      </c>
      <c r="H632" s="104">
        <f>SUM(F472)</f>
        <v>41598626.359999992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610691.99</v>
      </c>
      <c r="H633" s="104">
        <f>SUM(H472)</f>
        <v>610691.99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310556.13</v>
      </c>
      <c r="H634" s="104">
        <f>I369</f>
        <v>310556.13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733505.34000000008</v>
      </c>
      <c r="H635" s="104">
        <f>SUM(G472)</f>
        <v>733505.34000000008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1083349.83</v>
      </c>
      <c r="H636" s="104">
        <f>SUM(I472)</f>
        <v>1083349.83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240483.33</v>
      </c>
      <c r="H637" s="164">
        <f>SUM(J468)</f>
        <v>240483.33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293174.68</v>
      </c>
      <c r="H638" s="164">
        <f>SUM(J472)</f>
        <v>293174.68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264137.78000000003</v>
      </c>
      <c r="H639" s="104">
        <f>SUM(F461)</f>
        <v>264137.78000000003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851737.3</v>
      </c>
      <c r="H640" s="104">
        <f>SUM(G461)</f>
        <v>851737.3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1115875.08</v>
      </c>
      <c r="H642" s="104">
        <f>SUM(I461)</f>
        <v>1115875.08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54.03</v>
      </c>
      <c r="H644" s="104">
        <f>H408</f>
        <v>54.03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200000</v>
      </c>
      <c r="H645" s="104">
        <f>G408</f>
        <v>200000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240483.33000000002</v>
      </c>
      <c r="H646" s="104">
        <f>L408</f>
        <v>240483.33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1797914.8000000003</v>
      </c>
      <c r="H647" s="104">
        <f>L208+L226+L244</f>
        <v>1797914.8000000003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431227.53</v>
      </c>
      <c r="H648" s="104">
        <f>(J257+J338)-(J255+J336)</f>
        <v>431227.52999999997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573237.20000000007</v>
      </c>
      <c r="H649" s="104">
        <f>H598</f>
        <v>573237.20000000007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552778.77</v>
      </c>
      <c r="H650" s="104">
        <f>I598</f>
        <v>552778.77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671898.83</v>
      </c>
      <c r="H651" s="104">
        <f>J598</f>
        <v>671898.83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775424.87</v>
      </c>
      <c r="H654" s="104">
        <f>K265+K346</f>
        <v>775424.87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200000</v>
      </c>
      <c r="H655" s="104">
        <f>K266+K347</f>
        <v>200000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13211972.549999999</v>
      </c>
      <c r="G660" s="19">
        <f>(L229+L309+L359)</f>
        <v>12621540.020000001</v>
      </c>
      <c r="H660" s="19">
        <f>(L247+L328+L360)</f>
        <v>14677195</v>
      </c>
      <c r="I660" s="19">
        <f>SUM(F660:H660)</f>
        <v>40510707.57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204627.50251985487</v>
      </c>
      <c r="G661" s="19">
        <f>(L359/IF(SUM(L358:L360)=0,1,SUM(L358:L360))*(SUM(G97:G110)))</f>
        <v>205456.67157062519</v>
      </c>
      <c r="H661" s="19">
        <f>(L360/IF(SUM(L358:L360)=0,1,SUM(L358:L360))*(SUM(G97:G110)))</f>
        <v>233336.60590951989</v>
      </c>
      <c r="I661" s="19">
        <f>SUM(F661:H661)</f>
        <v>643420.78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516545.03000000009</v>
      </c>
      <c r="G662" s="19">
        <f>(L226+L306)-(J226+J306)</f>
        <v>499113.45</v>
      </c>
      <c r="H662" s="19">
        <f>(L244+L325)-(J244+J325)</f>
        <v>609398.37</v>
      </c>
      <c r="I662" s="19">
        <f>SUM(F662:H662)</f>
        <v>1625056.85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565434.87</v>
      </c>
      <c r="G663" s="199">
        <f>SUM(G575:G587)+SUM(I602:I604)+L612</f>
        <v>385473.62</v>
      </c>
      <c r="H663" s="199">
        <f>SUM(H575:H587)+SUM(J602:J604)+L613</f>
        <v>448818.79000000004</v>
      </c>
      <c r="I663" s="19">
        <f>SUM(F663:H663)</f>
        <v>1399727.28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11925365.147480143</v>
      </c>
      <c r="G664" s="19">
        <f>G660-SUM(G661:G663)</f>
        <v>11531496.278429376</v>
      </c>
      <c r="H664" s="19">
        <f>H660-SUM(H661:H663)</f>
        <v>13385641.234090481</v>
      </c>
      <c r="I664" s="19">
        <f>I660-SUM(I661:I663)</f>
        <v>36842502.659999996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698.66</v>
      </c>
      <c r="G665" s="248">
        <v>654.84</v>
      </c>
      <c r="H665" s="248">
        <v>759.61</v>
      </c>
      <c r="I665" s="19">
        <f>SUM(F665:H665)</f>
        <v>2113.11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17068.91</v>
      </c>
      <c r="G667" s="19">
        <f>ROUND(G664/G665,2)</f>
        <v>17609.64</v>
      </c>
      <c r="H667" s="19">
        <f>ROUND(H664/H665,2)</f>
        <v>17621.73</v>
      </c>
      <c r="I667" s="19">
        <f>ROUND(I664/I665,2)</f>
        <v>17435.2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-6.61</v>
      </c>
      <c r="I670" s="19">
        <f>SUM(F670:H670)</f>
        <v>-6.61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17068.91</v>
      </c>
      <c r="G672" s="19">
        <f>ROUND((G664+G669)/(G665+G670),2)</f>
        <v>17609.64</v>
      </c>
      <c r="H672" s="19">
        <f>ROUND((H664+H669)/(H665+H670),2)</f>
        <v>17776.419999999998</v>
      </c>
      <c r="I672" s="19">
        <f>ROUND((I664+I669)/(I665+I670),2)</f>
        <v>17489.91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33" sqref="B33:C3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Oyster River Coop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11674342.51</v>
      </c>
      <c r="C9" s="229">
        <f>'DOE25'!G197+'DOE25'!G215+'DOE25'!G233+'DOE25'!G276+'DOE25'!G295+'DOE25'!G314</f>
        <v>5040005.57</v>
      </c>
    </row>
    <row r="10" spans="1:3" x14ac:dyDescent="0.2">
      <c r="A10" t="s">
        <v>778</v>
      </c>
      <c r="B10" s="240">
        <v>10578961.880000001</v>
      </c>
      <c r="C10" s="240">
        <v>4819839.8207455864</v>
      </c>
    </row>
    <row r="11" spans="1:3" x14ac:dyDescent="0.2">
      <c r="A11" t="s">
        <v>779</v>
      </c>
      <c r="B11" s="240">
        <v>336698.78</v>
      </c>
      <c r="C11" s="240">
        <v>101624.58542067264</v>
      </c>
    </row>
    <row r="12" spans="1:3" x14ac:dyDescent="0.2">
      <c r="A12" t="s">
        <v>780</v>
      </c>
      <c r="B12" s="240">
        <v>758681.84999999986</v>
      </c>
      <c r="C12" s="240">
        <v>118541.16383374145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11674342.51</v>
      </c>
      <c r="C13" s="231">
        <f>SUM(C10:C12)</f>
        <v>5040005.57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4114468.7199999997</v>
      </c>
      <c r="C18" s="229">
        <f>'DOE25'!G198+'DOE25'!G216+'DOE25'!G234+'DOE25'!G277+'DOE25'!G296+'DOE25'!G315</f>
        <v>1648147.1999999997</v>
      </c>
    </row>
    <row r="19" spans="1:3" x14ac:dyDescent="0.2">
      <c r="A19" t="s">
        <v>778</v>
      </c>
      <c r="B19" s="240">
        <f>2240827.86+0.01</f>
        <v>2240827.8699999996</v>
      </c>
      <c r="C19" s="240">
        <v>999151.89</v>
      </c>
    </row>
    <row r="20" spans="1:3" x14ac:dyDescent="0.2">
      <c r="A20" t="s">
        <v>779</v>
      </c>
      <c r="B20" s="240">
        <v>1873640.8499999996</v>
      </c>
      <c r="C20" s="240">
        <f>648994.65+0.66</f>
        <v>648995.31000000006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4114468.7199999993</v>
      </c>
      <c r="C22" s="231">
        <f>SUM(C19:C21)</f>
        <v>1648147.2000000002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467402.97000000003</v>
      </c>
      <c r="C36" s="235">
        <f>'DOE25'!G200+'DOE25'!G218+'DOE25'!G236+'DOE25'!G279+'DOE25'!G298+'DOE25'!G317</f>
        <v>100129.97</v>
      </c>
    </row>
    <row r="37" spans="1:3" x14ac:dyDescent="0.2">
      <c r="A37" t="s">
        <v>778</v>
      </c>
      <c r="B37" s="240">
        <f>207062.9-0.01</f>
        <v>207062.88999999998</v>
      </c>
      <c r="C37" s="240">
        <v>42984.480000000003</v>
      </c>
    </row>
    <row r="38" spans="1:3" x14ac:dyDescent="0.2">
      <c r="A38" t="s">
        <v>779</v>
      </c>
      <c r="B38" s="240">
        <v>59242.840000000004</v>
      </c>
      <c r="C38" s="240">
        <v>4306.01</v>
      </c>
    </row>
    <row r="39" spans="1:3" x14ac:dyDescent="0.2">
      <c r="A39" t="s">
        <v>780</v>
      </c>
      <c r="B39" s="240">
        <v>201097.24</v>
      </c>
      <c r="C39" s="240">
        <v>52839.48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467402.97</v>
      </c>
      <c r="C40" s="231">
        <f>SUM(C37:C39)</f>
        <v>100129.97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16" sqref="F1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Oyster River Coop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24323065.630000003</v>
      </c>
      <c r="D5" s="20">
        <f>SUM('DOE25'!L197:L200)+SUM('DOE25'!L215:L218)+SUM('DOE25'!L233:L236)-F5-G5</f>
        <v>24180715.990000002</v>
      </c>
      <c r="E5" s="243"/>
      <c r="F5" s="255">
        <f>SUM('DOE25'!J197:J200)+SUM('DOE25'!J215:J218)+SUM('DOE25'!J233:J236)</f>
        <v>63310.14</v>
      </c>
      <c r="G5" s="53">
        <f>SUM('DOE25'!K197:K200)+SUM('DOE25'!K215:K218)+SUM('DOE25'!K233:K236)</f>
        <v>79039.5</v>
      </c>
      <c r="H5" s="259"/>
    </row>
    <row r="6" spans="1:9" x14ac:dyDescent="0.2">
      <c r="A6" s="32">
        <v>2100</v>
      </c>
      <c r="B6" t="s">
        <v>800</v>
      </c>
      <c r="C6" s="245">
        <f t="shared" si="0"/>
        <v>3503599.4</v>
      </c>
      <c r="D6" s="20">
        <f>'DOE25'!L202+'DOE25'!L220+'DOE25'!L238-F6-G6</f>
        <v>3497910.1599999997</v>
      </c>
      <c r="E6" s="243"/>
      <c r="F6" s="255">
        <f>'DOE25'!J202+'DOE25'!J220+'DOE25'!J238</f>
        <v>5689.24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964293.24</v>
      </c>
      <c r="D7" s="20">
        <f>'DOE25'!L203+'DOE25'!L221+'DOE25'!L239-F7-G7</f>
        <v>919084.7</v>
      </c>
      <c r="E7" s="243"/>
      <c r="F7" s="255">
        <f>'DOE25'!J203+'DOE25'!J221+'DOE25'!J239</f>
        <v>45208.539999999994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558797.46000000008</v>
      </c>
      <c r="D8" s="243"/>
      <c r="E8" s="20">
        <f>'DOE25'!L204+'DOE25'!L222+'DOE25'!L240-F8-G8-D9-D11</f>
        <v>540287.7300000001</v>
      </c>
      <c r="F8" s="255">
        <f>'DOE25'!J204+'DOE25'!J222+'DOE25'!J240</f>
        <v>0</v>
      </c>
      <c r="G8" s="53">
        <f>'DOE25'!K204+'DOE25'!K222+'DOE25'!K240</f>
        <v>18509.73</v>
      </c>
      <c r="H8" s="259"/>
    </row>
    <row r="9" spans="1:9" x14ac:dyDescent="0.2">
      <c r="A9" s="32">
        <v>2310</v>
      </c>
      <c r="B9" t="s">
        <v>817</v>
      </c>
      <c r="C9" s="245">
        <f t="shared" si="0"/>
        <v>97590.74</v>
      </c>
      <c r="D9" s="244">
        <f>122090.74-24500</f>
        <v>97590.74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24500</v>
      </c>
      <c r="D10" s="243"/>
      <c r="E10" s="244">
        <v>24500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550410.02000000014</v>
      </c>
      <c r="D11" s="244">
        <v>550410.02000000014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1714057.7200000002</v>
      </c>
      <c r="D12" s="20">
        <f>'DOE25'!L205+'DOE25'!L223+'DOE25'!L241-F12-G12</f>
        <v>1697163.2000000002</v>
      </c>
      <c r="E12" s="243"/>
      <c r="F12" s="255">
        <f>'DOE25'!J205+'DOE25'!J223+'DOE25'!J241</f>
        <v>0</v>
      </c>
      <c r="G12" s="53">
        <f>'DOE25'!K205+'DOE25'!K223+'DOE25'!K241</f>
        <v>16894.52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569781.22</v>
      </c>
      <c r="D13" s="243"/>
      <c r="E13" s="20">
        <f>'DOE25'!L206+'DOE25'!L224+'DOE25'!L242-F13-G13</f>
        <v>567793.66999999993</v>
      </c>
      <c r="F13" s="255">
        <f>'DOE25'!J206+'DOE25'!J224+'DOE25'!J242</f>
        <v>0</v>
      </c>
      <c r="G13" s="53">
        <f>'DOE25'!K206+'DOE25'!K224+'DOE25'!K242</f>
        <v>1987.5499999999997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3929648.8900000006</v>
      </c>
      <c r="D14" s="20">
        <f>'DOE25'!L207+'DOE25'!L225+'DOE25'!L243-F14-G14</f>
        <v>3873236.8000000007</v>
      </c>
      <c r="E14" s="243"/>
      <c r="F14" s="255">
        <f>'DOE25'!J207+'DOE25'!J225+'DOE25'!J243</f>
        <v>56412.09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1797914.8000000003</v>
      </c>
      <c r="D15" s="20">
        <f>'DOE25'!L208+'DOE25'!L226+'DOE25'!L244-F15-G15</f>
        <v>1622229.8500000003</v>
      </c>
      <c r="E15" s="243"/>
      <c r="F15" s="255">
        <f>'DOE25'!J208+'DOE25'!J226+'DOE25'!J244</f>
        <v>172857.94999999998</v>
      </c>
      <c r="G15" s="53">
        <f>'DOE25'!K208+'DOE25'!K226+'DOE25'!K244</f>
        <v>2827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1157351.1200000001</v>
      </c>
      <c r="D16" s="243"/>
      <c r="E16" s="20">
        <f>'DOE25'!L209+'DOE25'!L227+'DOE25'!L245-F16-G16</f>
        <v>1066324.8</v>
      </c>
      <c r="F16" s="255">
        <f>'DOE25'!J209+'DOE25'!J227+'DOE25'!J245</f>
        <v>86012.57</v>
      </c>
      <c r="G16" s="53">
        <f>'DOE25'!K209+'DOE25'!K227+'DOE25'!K245</f>
        <v>5013.75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1456691.25</v>
      </c>
      <c r="D25" s="243"/>
      <c r="E25" s="243"/>
      <c r="F25" s="258"/>
      <c r="G25" s="256"/>
      <c r="H25" s="257">
        <f>'DOE25'!L260+'DOE25'!L261+'DOE25'!L341+'DOE25'!L342</f>
        <v>1456691.25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442641.47000000009</v>
      </c>
      <c r="D29" s="20">
        <f>'DOE25'!L358+'DOE25'!L359+'DOE25'!L360-'DOE25'!I367-F29-G29</f>
        <v>439327.07000000007</v>
      </c>
      <c r="E29" s="243"/>
      <c r="F29" s="255">
        <f>'DOE25'!J358+'DOE25'!J359+'DOE25'!J360</f>
        <v>2696.9</v>
      </c>
      <c r="G29" s="53">
        <f>'DOE25'!K358+'DOE25'!K359+'DOE25'!K360</f>
        <v>617.5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610691.99</v>
      </c>
      <c r="D31" s="20">
        <f>'DOE25'!L290+'DOE25'!L309+'DOE25'!L328+'DOE25'!L333+'DOE25'!L334+'DOE25'!L335-F31-G31</f>
        <v>608954.99</v>
      </c>
      <c r="E31" s="243"/>
      <c r="F31" s="255">
        <f>'DOE25'!J290+'DOE25'!J309+'DOE25'!J328+'DOE25'!J333+'DOE25'!J334+'DOE25'!J335</f>
        <v>1736.9999999999998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37486623.520000003</v>
      </c>
      <c r="E33" s="246">
        <f>SUM(E5:E31)</f>
        <v>2198906.2000000002</v>
      </c>
      <c r="F33" s="246">
        <f>SUM(F5:F31)</f>
        <v>433924.43</v>
      </c>
      <c r="G33" s="246">
        <f>SUM(G5:G31)</f>
        <v>124889.55</v>
      </c>
      <c r="H33" s="246">
        <f>SUM(H5:H31)</f>
        <v>1456691.25</v>
      </c>
    </row>
    <row r="35" spans="2:8" ht="12" thickBot="1" x14ac:dyDescent="0.25">
      <c r="B35" s="253" t="s">
        <v>846</v>
      </c>
      <c r="D35" s="254">
        <f>E33</f>
        <v>2198906.2000000002</v>
      </c>
      <c r="E35" s="249"/>
    </row>
    <row r="36" spans="2:8" ht="12" thickTop="1" x14ac:dyDescent="0.2">
      <c r="B36" t="s">
        <v>814</v>
      </c>
      <c r="D36" s="20">
        <f>D33</f>
        <v>37486623.520000003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topLeftCell="G1" zoomScale="80" zoomScaleNormal="80" workbookViewId="0">
      <pane ySplit="2" topLeftCell="A84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Oyster River Coop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1766337.77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1115875.08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39054.29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8500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39525.620000000003</v>
      </c>
      <c r="D13" s="95">
        <f>'DOE25'!G14</f>
        <v>12268.03</v>
      </c>
      <c r="E13" s="95">
        <f>'DOE25'!H14</f>
        <v>134904.44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57591.45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1871954.84</v>
      </c>
      <c r="D18" s="41">
        <f>SUM(D8:D17)</f>
        <v>51322.32</v>
      </c>
      <c r="E18" s="41">
        <f>SUM(E8:E17)</f>
        <v>134904.44</v>
      </c>
      <c r="F18" s="41">
        <f>SUM(F8:F17)</f>
        <v>0</v>
      </c>
      <c r="G18" s="41">
        <f>SUM(G8:G17)</f>
        <v>1115875.08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22891.919999999998</v>
      </c>
      <c r="D21" s="95">
        <f>'DOE25'!G22</f>
        <v>0</v>
      </c>
      <c r="E21" s="95">
        <f>'DOE25'!H22</f>
        <v>15586.37</v>
      </c>
      <c r="F21" s="95">
        <f>'DOE25'!I22</f>
        <v>0</v>
      </c>
      <c r="G21" s="95">
        <f>'DOE25'!J22</f>
        <v>576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8500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107868.63</v>
      </c>
      <c r="D23" s="95">
        <f>'DOE25'!G24</f>
        <v>507.04</v>
      </c>
      <c r="E23" s="95">
        <f>'DOE25'!H24</f>
        <v>7230.17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1263.3800000000001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830934.38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32805.29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2160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965118.31</v>
      </c>
      <c r="D31" s="41">
        <f>SUM(D21:D30)</f>
        <v>33312.33</v>
      </c>
      <c r="E31" s="41">
        <f>SUM(E21:E30)</f>
        <v>22816.54</v>
      </c>
      <c r="F31" s="41">
        <f>SUM(F21:F30)</f>
        <v>0</v>
      </c>
      <c r="G31" s="41">
        <f>SUM(G21:G30)</f>
        <v>9076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57591.45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18009.990000000002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218503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63043.09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112087.9</v>
      </c>
      <c r="F47" s="95">
        <f>'DOE25'!I48</f>
        <v>0</v>
      </c>
      <c r="G47" s="95">
        <f>'DOE25'!J48</f>
        <v>1106799.08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567698.99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906836.53</v>
      </c>
      <c r="D50" s="41">
        <f>SUM(D34:D49)</f>
        <v>18009.990000000002</v>
      </c>
      <c r="E50" s="41">
        <f>SUM(E34:E49)</f>
        <v>112087.9</v>
      </c>
      <c r="F50" s="41">
        <f>SUM(F34:F49)</f>
        <v>0</v>
      </c>
      <c r="G50" s="41">
        <f>SUM(G34:G49)</f>
        <v>1106799.08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1871954.84</v>
      </c>
      <c r="D51" s="41">
        <f>D50+D31</f>
        <v>51322.320000000007</v>
      </c>
      <c r="E51" s="41">
        <f>E50+E31</f>
        <v>134904.44</v>
      </c>
      <c r="F51" s="41">
        <f>F50+F31</f>
        <v>0</v>
      </c>
      <c r="G51" s="41">
        <f>G50+G31</f>
        <v>1115875.08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28936249.239999998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1822333.52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23136.86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6337.86</v>
      </c>
      <c r="D59" s="95">
        <f>'DOE25'!G96</f>
        <v>0</v>
      </c>
      <c r="E59" s="95">
        <f>'DOE25'!H96</f>
        <v>0</v>
      </c>
      <c r="F59" s="95">
        <f>'DOE25'!I96</f>
        <v>1006.48</v>
      </c>
      <c r="G59" s="95">
        <f>'DOE25'!J96</f>
        <v>54.03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643420.78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34572.5</v>
      </c>
      <c r="D61" s="95">
        <f>SUM('DOE25'!G98:G110)</f>
        <v>0</v>
      </c>
      <c r="E61" s="95">
        <f>SUM('DOE25'!H98:H110)</f>
        <v>107520.84</v>
      </c>
      <c r="F61" s="95">
        <f>SUM('DOE25'!I98:I110)</f>
        <v>150081.32</v>
      </c>
      <c r="G61" s="95">
        <f>SUM('DOE25'!J98:J110)</f>
        <v>40429.300000000003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1886380.7400000002</v>
      </c>
      <c r="D62" s="130">
        <f>SUM(D57:D61)</f>
        <v>643420.78</v>
      </c>
      <c r="E62" s="130">
        <f>SUM(E57:E61)</f>
        <v>107520.84</v>
      </c>
      <c r="F62" s="130">
        <f>SUM(F57:F61)</f>
        <v>151087.80000000002</v>
      </c>
      <c r="G62" s="130">
        <f>SUM(G57:G61)</f>
        <v>40483.33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30822629.979999997</v>
      </c>
      <c r="D63" s="22">
        <f>D56+D62</f>
        <v>643420.78</v>
      </c>
      <c r="E63" s="22">
        <f>E56+E62</f>
        <v>107520.84</v>
      </c>
      <c r="F63" s="22">
        <f>F56+F62</f>
        <v>151087.80000000002</v>
      </c>
      <c r="G63" s="22">
        <f>G56+G62</f>
        <v>40483.33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4707871.45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3754492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8462363.4499999993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523742.09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156584.07999999999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2550.6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8062.02</v>
      </c>
      <c r="D77" s="95">
        <f>SUM('DOE25'!G131:G135)</f>
        <v>6532.26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690938.79</v>
      </c>
      <c r="D78" s="130">
        <f>SUM(D72:D77)</f>
        <v>6532.26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9153302.2399999984</v>
      </c>
      <c r="D81" s="130">
        <f>SUM(D79:D80)+D78+D70</f>
        <v>6532.26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338791.52</v>
      </c>
      <c r="D88" s="95">
        <f>SUM('DOE25'!G153:G161)</f>
        <v>101541.9</v>
      </c>
      <c r="E88" s="95">
        <f>SUM('DOE25'!H153:H161)</f>
        <v>566393.25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338791.52</v>
      </c>
      <c r="D91" s="131">
        <f>SUM(D85:D90)</f>
        <v>101541.9</v>
      </c>
      <c r="E91" s="131">
        <f>SUM(E85:E90)</f>
        <v>566393.25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775424.87</v>
      </c>
      <c r="G96" s="95">
        <f>'DOE25'!J179</f>
        <v>200000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284674.68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1060099.55</v>
      </c>
      <c r="G103" s="86">
        <f>SUM(G93:G102)</f>
        <v>200000</v>
      </c>
    </row>
    <row r="104" spans="1:7" ht="12.75" thickTop="1" thickBot="1" x14ac:dyDescent="0.25">
      <c r="A104" s="33" t="s">
        <v>764</v>
      </c>
      <c r="C104" s="86">
        <f>C63+C81+C91+C103</f>
        <v>40314723.740000002</v>
      </c>
      <c r="D104" s="86">
        <f>D63+D81+D91+D103</f>
        <v>751494.94000000006</v>
      </c>
      <c r="E104" s="86">
        <f>E63+E81+E91+E103</f>
        <v>673914.09</v>
      </c>
      <c r="F104" s="86">
        <f>F63+F81+F91+F103</f>
        <v>1211187.3500000001</v>
      </c>
      <c r="G104" s="86">
        <f>G63+G81+G103</f>
        <v>240483.33000000002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17115919.420000002</v>
      </c>
      <c r="D109" s="24" t="s">
        <v>288</v>
      </c>
      <c r="E109" s="95">
        <f>('DOE25'!L276)+('DOE25'!L295)+('DOE25'!L314)</f>
        <v>73394.25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6400010.2799999993</v>
      </c>
      <c r="D110" s="24" t="s">
        <v>288</v>
      </c>
      <c r="E110" s="95">
        <f>('DOE25'!L277)+('DOE25'!L296)+('DOE25'!L315)</f>
        <v>460409.33999999997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15844.04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791291.89</v>
      </c>
      <c r="D112" s="24" t="s">
        <v>288</v>
      </c>
      <c r="E112" s="95">
        <f>+('DOE25'!L279)+('DOE25'!L298)+('DOE25'!L317)</f>
        <v>22522.84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24323065.630000003</v>
      </c>
      <c r="D115" s="86">
        <f>SUM(D109:D114)</f>
        <v>0</v>
      </c>
      <c r="E115" s="86">
        <f>SUM(E109:E114)</f>
        <v>556326.42999999993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3503599.4</v>
      </c>
      <c r="D118" s="24" t="s">
        <v>288</v>
      </c>
      <c r="E118" s="95">
        <f>+('DOE25'!L281)+('DOE25'!L300)+('DOE25'!L319)</f>
        <v>5913.5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964293.24</v>
      </c>
      <c r="D119" s="24" t="s">
        <v>288</v>
      </c>
      <c r="E119" s="95">
        <f>+('DOE25'!L282)+('DOE25'!L301)+('DOE25'!L320)</f>
        <v>26676.170000000002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1206798.2200000002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1714057.7200000002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569781.22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3929648.8900000006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1797914.8000000003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1157351.1200000001</v>
      </c>
      <c r="D125" s="24" t="s">
        <v>288</v>
      </c>
      <c r="E125" s="95">
        <f>+('DOE25'!L288)+('DOE25'!L307)+('DOE25'!L326)</f>
        <v>21775.89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733505.34000000008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14843444.610000003</v>
      </c>
      <c r="D128" s="86">
        <f>SUM(D118:D127)</f>
        <v>733505.34000000008</v>
      </c>
      <c r="E128" s="86">
        <f>SUM(E118:E127)</f>
        <v>54365.56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1083349.83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1135000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321691.25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293174.68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775424.87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209053.06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31430.27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-40483.329999999987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2432116.12</v>
      </c>
      <c r="D144" s="141">
        <f>SUM(D130:D143)</f>
        <v>0</v>
      </c>
      <c r="E144" s="141">
        <f>SUM(E130:E143)</f>
        <v>0</v>
      </c>
      <c r="F144" s="141">
        <f>SUM(F130:F143)</f>
        <v>1083349.83</v>
      </c>
      <c r="G144" s="141">
        <f>SUM(G130:G143)</f>
        <v>293174.68</v>
      </c>
    </row>
    <row r="145" spans="1:9" ht="12.75" thickTop="1" thickBot="1" x14ac:dyDescent="0.25">
      <c r="A145" s="33" t="s">
        <v>244</v>
      </c>
      <c r="C145" s="86">
        <f>(C115+C128+C144)</f>
        <v>41598626.360000007</v>
      </c>
      <c r="D145" s="86">
        <f>(D115+D128+D144)</f>
        <v>733505.34000000008</v>
      </c>
      <c r="E145" s="86">
        <f>(E115+E128+E144)</f>
        <v>610691.99</v>
      </c>
      <c r="F145" s="86">
        <f>(F115+F128+F144)</f>
        <v>1083349.83</v>
      </c>
      <c r="G145" s="86">
        <f>(G115+G128+G144)</f>
        <v>293174.68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20</v>
      </c>
      <c r="F151" s="153">
        <f>'DOE25'!J490</f>
        <v>20</v>
      </c>
      <c r="G151" s="24" t="s">
        <v>288</v>
      </c>
    </row>
    <row r="152" spans="1:9" x14ac:dyDescent="0.2">
      <c r="A152" s="136" t="s">
        <v>28</v>
      </c>
      <c r="B152" s="152" t="str">
        <f>'DOE25'!F491</f>
        <v>6/22/2016</v>
      </c>
      <c r="C152" s="152">
        <f>'DOE25'!G491</f>
        <v>0</v>
      </c>
      <c r="D152" s="152">
        <f>'DOE25'!H491</f>
        <v>0</v>
      </c>
      <c r="E152" s="152" t="str">
        <f>'DOE25'!I491</f>
        <v>11/01</v>
      </c>
      <c r="F152" s="152" t="str">
        <f>'DOE25'!J491</f>
        <v>08/03</v>
      </c>
      <c r="G152" s="24" t="s">
        <v>288</v>
      </c>
    </row>
    <row r="153" spans="1:9" x14ac:dyDescent="0.2">
      <c r="A153" s="136" t="s">
        <v>29</v>
      </c>
      <c r="B153" s="152" t="str">
        <f>'DOE25'!F492</f>
        <v>07/26</v>
      </c>
      <c r="C153" s="152">
        <f>'DOE25'!G492</f>
        <v>0</v>
      </c>
      <c r="D153" s="152">
        <f>'DOE25'!H492</f>
        <v>0</v>
      </c>
      <c r="E153" s="152" t="str">
        <f>'DOE25'!I492</f>
        <v>11/21</v>
      </c>
      <c r="F153" s="152" t="str">
        <f>'DOE25'!J492</f>
        <v>02/23</v>
      </c>
      <c r="G153" s="24" t="s">
        <v>288</v>
      </c>
    </row>
    <row r="154" spans="1:9" x14ac:dyDescent="0.2">
      <c r="A154" s="136" t="s">
        <v>30</v>
      </c>
      <c r="B154" s="137">
        <f>'DOE25'!F493</f>
        <v>1500000</v>
      </c>
      <c r="C154" s="137">
        <f>'DOE25'!G493</f>
        <v>0</v>
      </c>
      <c r="D154" s="137">
        <f>'DOE25'!H493</f>
        <v>0</v>
      </c>
      <c r="E154" s="137">
        <f>'DOE25'!I493</f>
        <v>2300000</v>
      </c>
      <c r="F154" s="137">
        <f>'DOE25'!J493</f>
        <v>20406711</v>
      </c>
      <c r="G154" s="24" t="s">
        <v>288</v>
      </c>
    </row>
    <row r="155" spans="1:9" x14ac:dyDescent="0.2">
      <c r="A155" s="136" t="s">
        <v>31</v>
      </c>
      <c r="B155" s="137">
        <f>'DOE25'!F494</f>
        <v>1.88</v>
      </c>
      <c r="C155" s="137">
        <f>'DOE25'!G494</f>
        <v>0</v>
      </c>
      <c r="D155" s="137">
        <f>'DOE25'!H494</f>
        <v>0</v>
      </c>
      <c r="E155" s="137">
        <f>'DOE25'!I494</f>
        <v>4.22</v>
      </c>
      <c r="F155" s="137">
        <f>'DOE25'!J494</f>
        <v>4.09</v>
      </c>
      <c r="G155" s="24" t="s">
        <v>288</v>
      </c>
    </row>
    <row r="156" spans="1:9" x14ac:dyDescent="0.2">
      <c r="A156" s="22" t="s">
        <v>32</v>
      </c>
      <c r="B156" s="137">
        <f>'DOE25'!F495</f>
        <v>1500000</v>
      </c>
      <c r="C156" s="137">
        <f>'DOE25'!G495</f>
        <v>0</v>
      </c>
      <c r="D156" s="137">
        <f>'DOE25'!H495</f>
        <v>0</v>
      </c>
      <c r="E156" s="137">
        <f>'DOE25'!I495</f>
        <v>690000</v>
      </c>
      <c r="F156" s="137">
        <f>'DOE25'!J495</f>
        <v>7140000</v>
      </c>
      <c r="G156" s="138">
        <f>SUM(B156:F156)</f>
        <v>9330000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115000</v>
      </c>
      <c r="F158" s="137">
        <f>'DOE25'!J497</f>
        <v>1020000</v>
      </c>
      <c r="G158" s="138">
        <f t="shared" si="0"/>
        <v>1135000</v>
      </c>
    </row>
    <row r="159" spans="1:9" x14ac:dyDescent="0.2">
      <c r="A159" s="22" t="s">
        <v>35</v>
      </c>
      <c r="B159" s="137">
        <f>'DOE25'!F498</f>
        <v>1500000</v>
      </c>
      <c r="C159" s="137">
        <f>'DOE25'!G498</f>
        <v>0</v>
      </c>
      <c r="D159" s="137">
        <f>'DOE25'!H498</f>
        <v>0</v>
      </c>
      <c r="E159" s="137">
        <f>'DOE25'!I498</f>
        <v>575000</v>
      </c>
      <c r="F159" s="137">
        <f>'DOE25'!J498</f>
        <v>6120000</v>
      </c>
      <c r="G159" s="138">
        <f t="shared" si="0"/>
        <v>8195000</v>
      </c>
    </row>
    <row r="160" spans="1:9" x14ac:dyDescent="0.2">
      <c r="A160" s="22" t="s">
        <v>36</v>
      </c>
      <c r="B160" s="137">
        <f>'DOE25'!F499</f>
        <v>153593.43</v>
      </c>
      <c r="C160" s="137">
        <f>'DOE25'!G499</f>
        <v>0</v>
      </c>
      <c r="D160" s="137">
        <f>'DOE25'!H499</f>
        <v>0</v>
      </c>
      <c r="E160" s="137">
        <f>'DOE25'!I499</f>
        <v>66700</v>
      </c>
      <c r="F160" s="137">
        <f>'DOE25'!J499</f>
        <v>834870</v>
      </c>
      <c r="G160" s="138">
        <f t="shared" si="0"/>
        <v>1055163.43</v>
      </c>
    </row>
    <row r="161" spans="1:7" x14ac:dyDescent="0.2">
      <c r="A161" s="22" t="s">
        <v>37</v>
      </c>
      <c r="B161" s="137">
        <f>'DOE25'!F500</f>
        <v>1653593.43</v>
      </c>
      <c r="C161" s="137">
        <f>'DOE25'!G500</f>
        <v>0</v>
      </c>
      <c r="D161" s="137">
        <f>'DOE25'!H500</f>
        <v>0</v>
      </c>
      <c r="E161" s="137">
        <f>'DOE25'!I500</f>
        <v>641700</v>
      </c>
      <c r="F161" s="137">
        <f>'DOE25'!J500</f>
        <v>6954870</v>
      </c>
      <c r="G161" s="138">
        <f t="shared" si="0"/>
        <v>9250163.4299999997</v>
      </c>
    </row>
    <row r="162" spans="1:7" x14ac:dyDescent="0.2">
      <c r="A162" s="22" t="s">
        <v>38</v>
      </c>
      <c r="B162" s="137">
        <f>'DOE25'!F501</f>
        <v>150000</v>
      </c>
      <c r="C162" s="137">
        <f>'DOE25'!G501</f>
        <v>0</v>
      </c>
      <c r="D162" s="137">
        <f>'DOE25'!H501</f>
        <v>0</v>
      </c>
      <c r="E162" s="137">
        <f>'DOE25'!I501</f>
        <v>115000</v>
      </c>
      <c r="F162" s="137">
        <f>'DOE25'!J501</f>
        <v>1020000</v>
      </c>
      <c r="G162" s="138">
        <f t="shared" si="0"/>
        <v>1285000</v>
      </c>
    </row>
    <row r="163" spans="1:7" x14ac:dyDescent="0.2">
      <c r="A163" s="22" t="s">
        <v>39</v>
      </c>
      <c r="B163" s="137">
        <f>'DOE25'!F502</f>
        <v>28431.78</v>
      </c>
      <c r="C163" s="137">
        <f>'DOE25'!G502</f>
        <v>0</v>
      </c>
      <c r="D163" s="137">
        <f>'DOE25'!H502</f>
        <v>0</v>
      </c>
      <c r="E163" s="137">
        <f>'DOE25'!I502</f>
        <v>23862.5</v>
      </c>
      <c r="F163" s="137">
        <f>'DOE25'!J502</f>
        <v>250920</v>
      </c>
      <c r="G163" s="138">
        <f t="shared" si="0"/>
        <v>303214.28000000003</v>
      </c>
    </row>
    <row r="164" spans="1:7" x14ac:dyDescent="0.2">
      <c r="A164" s="22" t="s">
        <v>246</v>
      </c>
      <c r="B164" s="137">
        <f>'DOE25'!F503</f>
        <v>178431.78</v>
      </c>
      <c r="C164" s="137">
        <f>'DOE25'!G503</f>
        <v>0</v>
      </c>
      <c r="D164" s="137">
        <f>'DOE25'!H503</f>
        <v>0</v>
      </c>
      <c r="E164" s="137">
        <f>'DOE25'!I503</f>
        <v>138862.5</v>
      </c>
      <c r="F164" s="137">
        <f>'DOE25'!J503</f>
        <v>1270920</v>
      </c>
      <c r="G164" s="138">
        <f t="shared" si="0"/>
        <v>1588214.28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Oyster River Coop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17069</v>
      </c>
    </row>
    <row r="5" spans="1:4" x14ac:dyDescent="0.2">
      <c r="B5" t="s">
        <v>703</v>
      </c>
      <c r="C5" s="179">
        <f>IF('DOE25'!G665+'DOE25'!G670=0,0,ROUND('DOE25'!G672,0))</f>
        <v>17610</v>
      </c>
    </row>
    <row r="6" spans="1:4" x14ac:dyDescent="0.2">
      <c r="B6" t="s">
        <v>62</v>
      </c>
      <c r="C6" s="179">
        <f>IF('DOE25'!H665+'DOE25'!H670=0,0,ROUND('DOE25'!H672,0))</f>
        <v>17776</v>
      </c>
    </row>
    <row r="7" spans="1:4" x14ac:dyDescent="0.2">
      <c r="B7" t="s">
        <v>704</v>
      </c>
      <c r="C7" s="179">
        <f>IF('DOE25'!I665+'DOE25'!I670=0,0,ROUND('DOE25'!I672,0))</f>
        <v>17490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17189314</v>
      </c>
      <c r="D10" s="182">
        <f>ROUND((C10/$C$28)*100,1)</f>
        <v>42.8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6860420</v>
      </c>
      <c r="D11" s="182">
        <f>ROUND((C11/$C$28)*100,1)</f>
        <v>17.100000000000001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15844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813815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3509513</v>
      </c>
      <c r="D15" s="182">
        <f t="shared" ref="D15:D27" si="0">ROUND((C15/$C$28)*100,1)</f>
        <v>8.6999999999999993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990969</v>
      </c>
      <c r="D16" s="182">
        <f t="shared" si="0"/>
        <v>2.5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2385925</v>
      </c>
      <c r="D17" s="182">
        <f t="shared" si="0"/>
        <v>5.9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1714058</v>
      </c>
      <c r="D18" s="182">
        <f t="shared" si="0"/>
        <v>4.3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569781</v>
      </c>
      <c r="D19" s="182">
        <f t="shared" si="0"/>
        <v>1.4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3929649</v>
      </c>
      <c r="D20" s="182">
        <f t="shared" si="0"/>
        <v>9.8000000000000007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1797915</v>
      </c>
      <c r="D21" s="182">
        <f t="shared" si="0"/>
        <v>4.5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321691</v>
      </c>
      <c r="D25" s="182">
        <f t="shared" si="0"/>
        <v>0.8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90084.219999999972</v>
      </c>
      <c r="D27" s="182">
        <f t="shared" si="0"/>
        <v>0.2</v>
      </c>
    </row>
    <row r="28" spans="1:4" x14ac:dyDescent="0.2">
      <c r="B28" s="187" t="s">
        <v>722</v>
      </c>
      <c r="C28" s="180">
        <f>SUM(C10:C27)</f>
        <v>40188978.219999999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1083350</v>
      </c>
    </row>
    <row r="30" spans="1:4" x14ac:dyDescent="0.2">
      <c r="B30" s="187" t="s">
        <v>728</v>
      </c>
      <c r="C30" s="180">
        <f>SUM(C28:C29)</f>
        <v>41272328.219999999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1135000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28936249</v>
      </c>
      <c r="D35" s="182">
        <f t="shared" ref="D35:D40" si="1">ROUND((C35/$C$41)*100,1)</f>
        <v>70.099999999999994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2185472.9499999955</v>
      </c>
      <c r="D36" s="182">
        <f t="shared" si="1"/>
        <v>5.3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8462363</v>
      </c>
      <c r="D37" s="182">
        <f t="shared" si="1"/>
        <v>20.5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697471</v>
      </c>
      <c r="D38" s="182">
        <f t="shared" si="1"/>
        <v>1.7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1006727</v>
      </c>
      <c r="D39" s="182">
        <f t="shared" si="1"/>
        <v>2.4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41288282.949999996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25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Oyster River Coop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2017-09-07T19:48:07Z</cp:lastPrinted>
  <dcterms:created xsi:type="dcterms:W3CDTF">1997-12-04T19:04:30Z</dcterms:created>
  <dcterms:modified xsi:type="dcterms:W3CDTF">2017-11-29T17:57:37Z</dcterms:modified>
</cp:coreProperties>
</file>