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-420" yWindow="-105" windowWidth="14655" windowHeight="127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8" i="1" l="1"/>
  <c r="H526" i="1"/>
  <c r="G523" i="1"/>
  <c r="H523" i="1"/>
  <c r="I523" i="1"/>
  <c r="J523" i="1"/>
  <c r="K523" i="1"/>
  <c r="F523" i="1"/>
  <c r="G521" i="1"/>
  <c r="H521" i="1"/>
  <c r="I521" i="1"/>
  <c r="J521" i="1"/>
  <c r="K521" i="1"/>
  <c r="F521" i="1"/>
  <c r="J604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124" i="2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E118" i="2" s="1"/>
  <c r="L282" i="1"/>
  <c r="L283" i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H25" i="13" s="1"/>
  <c r="C25" i="13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9" i="10"/>
  <c r="L250" i="1"/>
  <c r="L332" i="1"/>
  <c r="L254" i="1"/>
  <c r="C25" i="10"/>
  <c r="L268" i="1"/>
  <c r="L269" i="1"/>
  <c r="L349" i="1"/>
  <c r="L350" i="1"/>
  <c r="I665" i="1"/>
  <c r="I670" i="1"/>
  <c r="L229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3" i="2"/>
  <c r="E113" i="2"/>
  <c r="C114" i="2"/>
  <c r="D115" i="2"/>
  <c r="F115" i="2"/>
  <c r="G115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J257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H639" i="1" s="1"/>
  <c r="G461" i="1"/>
  <c r="H640" i="1" s="1"/>
  <c r="H461" i="1"/>
  <c r="I461" i="1"/>
  <c r="F470" i="1"/>
  <c r="G470" i="1"/>
  <c r="G476" i="1" s="1"/>
  <c r="H623" i="1" s="1"/>
  <c r="J623" i="1" s="1"/>
  <c r="H470" i="1"/>
  <c r="I470" i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K545" i="1" s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H545" i="1" s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1" i="1"/>
  <c r="H641" i="1"/>
  <c r="H642" i="1"/>
  <c r="G643" i="1"/>
  <c r="H643" i="1"/>
  <c r="G644" i="1"/>
  <c r="G650" i="1"/>
  <c r="G651" i="1"/>
  <c r="G652" i="1"/>
  <c r="H652" i="1"/>
  <c r="G653" i="1"/>
  <c r="H653" i="1"/>
  <c r="G654" i="1"/>
  <c r="H654" i="1"/>
  <c r="H655" i="1"/>
  <c r="J655" i="1" s="1"/>
  <c r="F192" i="1"/>
  <c r="G164" i="2"/>
  <c r="C26" i="10"/>
  <c r="L351" i="1"/>
  <c r="C70" i="2"/>
  <c r="A40" i="12"/>
  <c r="D62" i="2"/>
  <c r="D63" i="2" s="1"/>
  <c r="D18" i="13"/>
  <c r="C18" i="13" s="1"/>
  <c r="D17" i="13"/>
  <c r="C17" i="13" s="1"/>
  <c r="C91" i="2"/>
  <c r="F78" i="2"/>
  <c r="F81" i="2" s="1"/>
  <c r="D50" i="2"/>
  <c r="G157" i="2"/>
  <c r="F18" i="2"/>
  <c r="G161" i="2"/>
  <c r="G156" i="2"/>
  <c r="E103" i="2"/>
  <c r="D19" i="13"/>
  <c r="C19" i="13" s="1"/>
  <c r="E13" i="13"/>
  <c r="C13" i="13" s="1"/>
  <c r="E78" i="2"/>
  <c r="E81" i="2" s="1"/>
  <c r="L427" i="1"/>
  <c r="J641" i="1"/>
  <c r="J571" i="1"/>
  <c r="K571" i="1"/>
  <c r="L433" i="1"/>
  <c r="L419" i="1"/>
  <c r="I169" i="1"/>
  <c r="J643" i="1"/>
  <c r="I476" i="1"/>
  <c r="H625" i="1" s="1"/>
  <c r="J625" i="1" s="1"/>
  <c r="J140" i="1"/>
  <c r="F571" i="1"/>
  <c r="I552" i="1"/>
  <c r="K550" i="1"/>
  <c r="G22" i="2"/>
  <c r="H552" i="1"/>
  <c r="C29" i="10"/>
  <c r="H140" i="1"/>
  <c r="F22" i="13"/>
  <c r="H571" i="1"/>
  <c r="L560" i="1"/>
  <c r="G192" i="1"/>
  <c r="H192" i="1"/>
  <c r="F552" i="1"/>
  <c r="L309" i="1"/>
  <c r="E16" i="13"/>
  <c r="C16" i="13" s="1"/>
  <c r="L570" i="1"/>
  <c r="I571" i="1"/>
  <c r="I545" i="1"/>
  <c r="J636" i="1"/>
  <c r="G36" i="2"/>
  <c r="C22" i="13"/>
  <c r="J552" i="1" l="1"/>
  <c r="A31" i="12"/>
  <c r="G545" i="1"/>
  <c r="L529" i="1"/>
  <c r="G552" i="1"/>
  <c r="K551" i="1"/>
  <c r="C119" i="2"/>
  <c r="C112" i="2"/>
  <c r="C123" i="2"/>
  <c r="C18" i="10"/>
  <c r="L211" i="1"/>
  <c r="E8" i="13"/>
  <c r="C8" i="13" s="1"/>
  <c r="K257" i="1"/>
  <c r="K271" i="1" s="1"/>
  <c r="J271" i="1"/>
  <c r="H604" i="1"/>
  <c r="F663" i="1"/>
  <c r="I663" i="1" s="1"/>
  <c r="E31" i="2"/>
  <c r="J651" i="1"/>
  <c r="K598" i="1"/>
  <c r="G647" i="1" s="1"/>
  <c r="L544" i="1"/>
  <c r="L545" i="1" s="1"/>
  <c r="K549" i="1"/>
  <c r="K552" i="1"/>
  <c r="H476" i="1"/>
  <c r="H624" i="1" s="1"/>
  <c r="J624" i="1" s="1"/>
  <c r="F476" i="1"/>
  <c r="H622" i="1" s="1"/>
  <c r="J622" i="1" s="1"/>
  <c r="J640" i="1"/>
  <c r="J639" i="1"/>
  <c r="L401" i="1"/>
  <c r="C139" i="2" s="1"/>
  <c r="H408" i="1"/>
  <c r="H644" i="1" s="1"/>
  <c r="J644" i="1" s="1"/>
  <c r="I369" i="1"/>
  <c r="H634" i="1" s="1"/>
  <c r="J634" i="1"/>
  <c r="L362" i="1"/>
  <c r="D127" i="2"/>
  <c r="D128" i="2" s="1"/>
  <c r="D145" i="2" s="1"/>
  <c r="E119" i="2"/>
  <c r="L328" i="1"/>
  <c r="E120" i="2"/>
  <c r="E128" i="2" s="1"/>
  <c r="L290" i="1"/>
  <c r="G257" i="1"/>
  <c r="G271" i="1" s="1"/>
  <c r="C13" i="10"/>
  <c r="D14" i="13"/>
  <c r="C14" i="13" s="1"/>
  <c r="D7" i="13"/>
  <c r="C7" i="13" s="1"/>
  <c r="G645" i="1"/>
  <c r="J645" i="1" s="1"/>
  <c r="H52" i="1"/>
  <c r="H619" i="1" s="1"/>
  <c r="J619" i="1" s="1"/>
  <c r="C18" i="2"/>
  <c r="K338" i="1"/>
  <c r="K352" i="1" s="1"/>
  <c r="C132" i="2"/>
  <c r="H33" i="13"/>
  <c r="J338" i="1"/>
  <c r="J352" i="1" s="1"/>
  <c r="D6" i="13"/>
  <c r="C6" i="13" s="1"/>
  <c r="H338" i="1"/>
  <c r="H352" i="1" s="1"/>
  <c r="C11" i="10"/>
  <c r="H257" i="1"/>
  <c r="H271" i="1" s="1"/>
  <c r="H647" i="1"/>
  <c r="G649" i="1"/>
  <c r="J649" i="1" s="1"/>
  <c r="D15" i="13"/>
  <c r="C15" i="13" s="1"/>
  <c r="F662" i="1"/>
  <c r="I662" i="1" s="1"/>
  <c r="C21" i="10"/>
  <c r="D29" i="13"/>
  <c r="C29" i="13" s="1"/>
  <c r="G338" i="1"/>
  <c r="G352" i="1" s="1"/>
  <c r="D12" i="13"/>
  <c r="C12" i="13" s="1"/>
  <c r="D31" i="2"/>
  <c r="D51" i="2" s="1"/>
  <c r="D18" i="2"/>
  <c r="G661" i="1"/>
  <c r="F661" i="1"/>
  <c r="H661" i="1"/>
  <c r="F338" i="1"/>
  <c r="F352" i="1" s="1"/>
  <c r="C16" i="10"/>
  <c r="E109" i="2"/>
  <c r="E115" i="2" s="1"/>
  <c r="C20" i="10"/>
  <c r="C121" i="2"/>
  <c r="C120" i="2"/>
  <c r="C17" i="10"/>
  <c r="C15" i="10"/>
  <c r="C118" i="2"/>
  <c r="F257" i="1"/>
  <c r="F271" i="1" s="1"/>
  <c r="L247" i="1"/>
  <c r="C12" i="10"/>
  <c r="D5" i="13"/>
  <c r="C5" i="13" s="1"/>
  <c r="C110" i="2"/>
  <c r="C109" i="2"/>
  <c r="C10" i="10"/>
  <c r="C81" i="2"/>
  <c r="C62" i="2"/>
  <c r="F112" i="1"/>
  <c r="C35" i="10"/>
  <c r="C36" i="10" s="1"/>
  <c r="C56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C27" i="10"/>
  <c r="G635" i="1"/>
  <c r="J635" i="1" s="1"/>
  <c r="J647" i="1" l="1"/>
  <c r="L338" i="1"/>
  <c r="L352" i="1" s="1"/>
  <c r="G633" i="1" s="1"/>
  <c r="J633" i="1" s="1"/>
  <c r="E33" i="13"/>
  <c r="D35" i="13" s="1"/>
  <c r="H605" i="1"/>
  <c r="K604" i="1"/>
  <c r="K605" i="1" s="1"/>
  <c r="G648" i="1" s="1"/>
  <c r="H648" i="1"/>
  <c r="E51" i="2"/>
  <c r="H646" i="1"/>
  <c r="H660" i="1"/>
  <c r="H664" i="1" s="1"/>
  <c r="H672" i="1" s="1"/>
  <c r="C6" i="10" s="1"/>
  <c r="F660" i="1"/>
  <c r="G104" i="2"/>
  <c r="D31" i="13"/>
  <c r="C31" i="13" s="1"/>
  <c r="G664" i="1"/>
  <c r="G672" i="1" s="1"/>
  <c r="C5" i="10" s="1"/>
  <c r="E145" i="2"/>
  <c r="C128" i="2"/>
  <c r="I661" i="1"/>
  <c r="L257" i="1"/>
  <c r="L271" i="1" s="1"/>
  <c r="G632" i="1" s="1"/>
  <c r="J632" i="1" s="1"/>
  <c r="C115" i="2"/>
  <c r="C28" i="10"/>
  <c r="D23" i="10" s="1"/>
  <c r="C63" i="2"/>
  <c r="C104" i="2" s="1"/>
  <c r="F193" i="1"/>
  <c r="G627" i="1" s="1"/>
  <c r="J627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J648" i="1" l="1"/>
  <c r="I660" i="1"/>
  <c r="I664" i="1" s="1"/>
  <c r="I672" i="1" s="1"/>
  <c r="C7" i="10" s="1"/>
  <c r="F664" i="1"/>
  <c r="F672" i="1" s="1"/>
  <c r="C4" i="10" s="1"/>
  <c r="G667" i="1"/>
  <c r="D33" i="13"/>
  <c r="D36" i="13" s="1"/>
  <c r="H667" i="1"/>
  <c r="C145" i="2"/>
  <c r="D13" i="10"/>
  <c r="D18" i="10"/>
  <c r="C30" i="10"/>
  <c r="D25" i="10"/>
  <c r="D12" i="10"/>
  <c r="D21" i="10"/>
  <c r="D10" i="10"/>
  <c r="D20" i="10"/>
  <c r="D16" i="10"/>
  <c r="D26" i="10"/>
  <c r="D19" i="10"/>
  <c r="D15" i="10"/>
  <c r="D11" i="10"/>
  <c r="D22" i="10"/>
  <c r="D27" i="10"/>
  <c r="D17" i="10"/>
  <c r="D24" i="10"/>
  <c r="H656" i="1"/>
  <c r="C41" i="10"/>
  <c r="D38" i="10" s="1"/>
  <c r="F667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<sst xmlns="http://schemas.openxmlformats.org/spreadsheetml/2006/main" count="3956" uniqueCount="914">
  <si>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</si>
  <si>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</si>
  <si>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</si>
  <si>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</si>
  <si>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</si>
  <si>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</si>
  <si>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</si>
  <si>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</si>
  <si>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</si>
  <si>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</si>
  <si>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</si>
  <si>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</si>
  <si>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</si>
  <si>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</si>
  <si>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</si>
  <si>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</si>
  <si>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</si>
  <si>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</si>
  <si>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</si>
  <si>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</si>
  <si>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</si>
  <si>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</si>
  <si>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</si>
  <si>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</si>
  <si>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</si>
  <si>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</si>
  <si>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</si>
  <si>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</si>
  <si>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</si>
  <si>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</si>
  <si>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</si>
  <si>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</si>
  <si>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</si>
  <si>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</si>
  <si>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</si>
  <si>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</si>
  <si>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</si>
  <si>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</si>
  <si>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</si>
  <si>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</si>
  <si>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</si>
  <si>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</si>
  <si>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</si>
  <si>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</si>
  <si>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</si>
  <si>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</si>
  <si>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</si>
  <si>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</si>
  <si>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</si>
  <si>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</si>
  <si>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</si>
  <si>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</si>
  <si>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</si>
  <si>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</si>
  <si>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</si>
  <si>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</si>
  <si>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</si>
  <si>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</si>
  <si>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</si>
  <si>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</si>
  <si>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</si>
  <si>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</si>
  <si>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</si>
  <si>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</si>
  <si>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</si>
  <si>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</si>
  <si>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</si>
  <si>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</si>
  <si>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</si>
  <si>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</si>
  <si>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</si>
  <si>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</si>
  <si>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</si>
  <si>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</si>
  <si>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</si>
  <si>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</si>
  <si>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</si>
  <si>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</si>
  <si>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</si>
  <si>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</si>
  <si>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</si>
  <si>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</si>
  <si>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</si>
  <si>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</si>
  <si>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</si>
  <si>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</si>
  <si>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</si>
  <si>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</si>
  <si>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</si>
  <si>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</si>
  <si>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</si>
  <si>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</si>
  <si>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</si>
  <si>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</si>
  <si>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</si>
  <si>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</si>
  <si>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</si>
  <si>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</si>
  <si>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</si>
  <si>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</si>
  <si>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</si>
  <si>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</si>
  <si>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</si>
  <si>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</si>
  <si>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</si>
  <si>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</si>
  <si>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</si>
  <si>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</si>
  <si>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</si>
  <si>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</si>
  <si>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</si>
  <si>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</si>
  <si>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</si>
  <si>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</si>
  <si>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</si>
  <si>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</si>
  <si>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</si>
  <si>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</si>
  <si>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</si>
  <si>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</si>
  <si>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</si>
  <si>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</si>
  <si>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</si>
  <si>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</si>
  <si>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</si>
  <si>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</si>
  <si>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</si>
  <si>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</si>
  <si>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</si>
  <si>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</si>
  <si>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</si>
  <si>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</si>
  <si>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</si>
  <si>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</si>
  <si>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</si>
  <si>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</si>
  <si>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</si>
  <si>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</si>
  <si>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</si>
  <si>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</si>
  <si>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</si>
  <si>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</si>
  <si>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</si>
  <si>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</si>
  <si>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</si>
  <si>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</si>
  <si>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</si>
  <si>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</si>
  <si>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</si>
  <si>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</si>
  <si>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</si>
  <si>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</si>
  <si>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</si>
  <si>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</si>
  <si>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</si>
  <si>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</si>
  <si>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</si>
  <si>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</si>
  <si>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</si>
  <si>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</si>
  <si>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</si>
  <si>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</si>
  <si>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</si>
  <si>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</si>
  <si>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</si>
  <si>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</si>
  <si>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</si>
  <si>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</si>
  <si>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</si>
  <si>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</si>
  <si>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</si>
  <si>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</si>
  <si>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</si>
  <si>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</si>
  <si>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</si>
  <si>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</si>
  <si>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</si>
  <si>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</si>
  <si>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</si>
  <si>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</si>
  <si>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</si>
  <si>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</si>
  <si>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</si>
  <si>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</si>
  <si>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</si>
  <si>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</si>
  <si>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</si>
  <si>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</si>
  <si>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</si>
  <si>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</si>
  <si>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</si>
  <si>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</si>
  <si>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</si>
  <si>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</si>
  <si>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</si>
  <si>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</si>
  <si>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</si>
  <si>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</si>
  <si>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</si>
  <si>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</si>
  <si>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</si>
  <si>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</si>
  <si>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</si>
  <si>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</si>
  <si>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</si>
  <si>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</si>
  <si>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</si>
  <si>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</si>
  <si>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</si>
  <si>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</si>
  <si>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</si>
  <si>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</si>
  <si>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</si>
  <si>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</si>
  <si>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</si>
  <si>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</si>
  <si>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</si>
  <si>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</si>
  <si>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</si>
  <si>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</si>
  <si>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</si>
  <si>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</si>
  <si>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</si>
  <si>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</si>
  <si>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</si>
  <si>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</si>
  <si>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</si>
  <si>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</si>
  <si>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</si>
  <si>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</si>
  <si>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</si>
  <si>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</si>
  <si>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</si>
  <si>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</si>
  <si>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</si>
  <si>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</si>
  <si>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</si>
  <si>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</si>
  <si>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</si>
  <si>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</si>
  <si>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</si>
  <si>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</si>
  <si>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</si>
  <si>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</si>
  <si>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</si>
  <si>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</si>
  <si>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</si>
  <si>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</si>
  <si>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</si>
  <si>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</si>
  <si>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</si>
  <si>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</si>
  <si>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</si>
  <si>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</si>
  <si>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</si>
  <si>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</si>
  <si>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</si>
  <si>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</si>
  <si>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</si>
  <si>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</si>
  <si>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</si>
  <si>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</si>
  <si>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</si>
  <si>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</si>
  <si>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</si>
  <si>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</si>
  <si>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</si>
  <si>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</si>
  <si>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</si>
  <si>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</si>
  <si>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</si>
  <si>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</si>
  <si>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</si>
  <si>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</si>
  <si>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</si>
  <si>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</si>
  <si>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</si>
  <si>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</si>
  <si>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</si>
  <si>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</si>
  <si>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</si>
  <si>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</si>
  <si>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</si>
  <si>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</si>
  <si>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</si>
  <si>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</si>
  <si>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</si>
  <si>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</si>
  <si>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</si>
  <si>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</si>
  <si>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</si>
  <si>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</si>
  <si>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</si>
  <si>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</si>
  <si>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</si>
  <si>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</si>
  <si>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</si>
  <si>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</si>
  <si>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</si>
  <si>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</si>
  <si>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</si>
  <si>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</si>
  <si>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</si>
  <si>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</si>
  <si>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</si>
  <si>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</si>
  <si>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</si>
  <si>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</si>
  <si>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</si>
  <si>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</si>
  <si>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</si>
  <si>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</si>
  <si>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</si>
  <si>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</si>
  <si>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</si>
  <si>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</si>
  <si>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</si>
  <si>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</si>
  <si>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</si>
  <si>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</si>
  <si>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</si>
  <si>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</si>
  <si>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</si>
  <si>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</si>
  <si>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</si>
  <si>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</si>
  <si>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</si>
  <si>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</si>
  <si>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</si>
  <si>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</si>
  <si>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</si>
  <si>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</si>
  <si>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</si>
  <si>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</si>
  <si>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</si>
  <si>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</si>
  <si>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</si>
  <si>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</si>
  <si>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</si>
  <si>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</si>
  <si>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</si>
  <si>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</si>
  <si>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</si>
  <si>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</si>
  <si>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</si>
  <si>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</si>
  <si>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</si>
  <si>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</si>
  <si>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</si>
  <si>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</si>
  <si>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</si>
  <si>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</si>
  <si>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</si>
  <si>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</si>
  <si>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</si>
  <si>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</si>
  <si>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</si>
  <si>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</si>
  <si>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</si>
  <si>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</si>
  <si>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</si>
  <si>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</si>
  <si>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</si>
  <si>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</si>
  <si>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</si>
  <si>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</si>
  <si>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</si>
  <si>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</si>
  <si>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</si>
  <si>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</si>
  <si>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</si>
  <si>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</si>
  <si>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</si>
  <si>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</si>
  <si>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</si>
  <si>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</si>
  <si>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</si>
  <si>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</si>
  <si>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</si>
  <si>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</si>
  <si>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</si>
  <si>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</si>
  <si>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</si>
  <si>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</si>
  <si>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</si>
  <si>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</si>
  <si>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</si>
  <si>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</si>
  <si>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</si>
  <si>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</si>
  <si>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</si>
  <si>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</si>
  <si>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</si>
  <si>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</si>
  <si>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</si>
  <si>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</si>
  <si>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</si>
  <si>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</si>
  <si>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</si>
  <si>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</si>
  <si>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</si>
  <si>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</si>
  <si>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</si>
  <si>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</si>
  <si>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</si>
  <si>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</si>
  <si>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</si>
  <si>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</si>
  <si>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</si>
  <si>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</si>
  <si>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</si>
  <si>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</si>
  <si>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</si>
  <si>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</si>
  <si>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</si>
  <si>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</si>
  <si>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</si>
  <si>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</si>
  <si>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</si>
  <si>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</si>
  <si>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</si>
  <si>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</si>
  <si>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</si>
  <si>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</si>
  <si>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</si>
  <si>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</si>
  <si>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</si>
  <si>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</si>
  <si>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</si>
  <si>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</si>
  <si>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</si>
  <si>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</si>
  <si>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</si>
  <si>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</si>
  <si>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</si>
  <si>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</si>
  <si>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</si>
  <si>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</si>
  <si>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</si>
  <si>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</si>
  <si>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</si>
  <si>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</si>
  <si>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</si>
  <si>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</si>
  <si>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</si>
  <si>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</si>
  <si>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</si>
  <si>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</si>
  <si>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</si>
  <si>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</si>
  <si>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</si>
  <si>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</si>
  <si>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</si>
  <si>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</si>
  <si>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</si>
  <si>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</si>
  <si>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</si>
  <si>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</si>
  <si>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</si>
  <si>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</si>
  <si>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</si>
  <si>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</si>
  <si>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</si>
  <si>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</si>
  <si>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</si>
  <si>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</si>
  <si>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</si>
  <si>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</si>
  <si>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</si>
  <si>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</si>
  <si>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</si>
  <si>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</si>
  <si>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</si>
  <si>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</si>
  <si>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</si>
  <si>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</si>
  <si>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</si>
  <si>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</si>
  <si>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</si>
  <si>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</si>
  <si>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</si>
  <si>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</si>
  <si>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</si>
  <si>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</si>
  <si>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</si>
  <si>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</si>
  <si>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</si>
  <si>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</si>
  <si>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</si>
  <si>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</si>
  <si>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</si>
  <si>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</si>
  <si>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</si>
  <si>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</si>
  <si>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</si>
  <si>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</si>
  <si>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</si>
  <si>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</si>
  <si>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</si>
  <si>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</si>
  <si>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</si>
  <si>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</si>
  <si>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</si>
  <si>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</si>
  <si>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</si>
  <si>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</si>
  <si>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</si>
  <si>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</si>
  <si>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</si>
  <si>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</si>
  <si>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</si>
  <si>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</si>
  <si>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</si>
  <si>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</si>
  <si>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</si>
  <si>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</si>
  <si>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</si>
  <si>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</si>
  <si>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</si>
  <si>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</si>
  <si>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</si>
  <si>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</si>
  <si>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</si>
  <si>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</si>
  <si>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</si>
  <si>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</si>
  <si>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</si>
  <si>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</si>
  <si>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</si>
  <si>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</si>
  <si>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</si>
  <si>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</si>
  <si>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</si>
  <si>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</si>
  <si>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</si>
  <si>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</si>
  <si>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</si>
  <si>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</si>
  <si>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</si>
  <si>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</si>
  <si>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</si>
  <si>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</si>
  <si>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</si>
  <si>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</si>
  <si>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</si>
  <si>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</si>
  <si>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</si>
  <si>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</si>
  <si>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</si>
  <si>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</si>
  <si>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</si>
  <si>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</si>
  <si>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</si>
  <si>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</si>
  <si>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</si>
  <si>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</si>
  <si>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</si>
  <si>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</si>
  <si>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</si>
  <si>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</si>
  <si>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</si>
  <si>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</si>
  <si>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</si>
  <si>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</si>
  <si>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</si>
  <si>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</si>
  <si>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</si>
  <si>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</si>
  <si>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</si>
  <si>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</si>
  <si>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</si>
  <si>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</si>
  <si>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</si>
  <si>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</si>
  <si>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</si>
  <si>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</si>
  <si>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</si>
  <si>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</si>
  <si>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</si>
  <si>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</si>
  <si>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</si>
  <si>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</si>
  <si>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</si>
  <si>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</si>
  <si>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</si>
  <si>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</si>
  <si>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</si>
  <si>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</si>
  <si>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</si>
  <si>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</si>
  <si>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</si>
  <si>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</si>
  <si>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</si>
  <si>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</si>
  <si>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</si>
  <si>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</si>
  <si>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</si>
  <si>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</si>
  <si>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</si>
  <si>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</si>
  <si>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</si>
  <si>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</si>
  <si>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</si>
  <si>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</si>
  <si>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</si>
  <si>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</si>
  <si>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</si>
  <si>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</si>
  <si>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</si>
  <si>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</si>
  <si>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</si>
  <si>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</si>
  <si>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</si>
  <si>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</si>
  <si>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</si>
  <si>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</si>
  <si>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</si>
  <si>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</si>
  <si>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</si>
  <si>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</si>
  <si>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</si>
  <si>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</si>
  <si>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</si>
  <si>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</si>
  <si>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</si>
  <si>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</si>
  <si>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</si>
  <si>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</si>
  <si>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</si>
  <si>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</si>
  <si>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</si>
  <si>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</si>
  <si>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</si>
  <si>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</si>
  <si>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</si>
  <si>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</si>
  <si>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</si>
  <si>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</si>
  <si>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</si>
  <si>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</si>
  <si>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</si>
  <si>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</si>
  <si>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</si>
  <si>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</si>
  <si>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</si>
  <si>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</si>
  <si>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</si>
  <si>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</si>
  <si>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</si>
  <si>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</si>
  <si>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</si>
  <si>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</si>
  <si>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</si>
  <si>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</si>
  <si>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</si>
  <si>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</si>
  <si>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</si>
  <si>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</si>
  <si>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</si>
  <si>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</si>
  <si>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</si>
  <si>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</si>
  <si>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</si>
  <si>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</si>
  <si>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</si>
  <si>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</si>
  <si>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</si>
  <si>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</si>
  <si>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</si>
  <si>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</si>
  <si>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</si>
  <si>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</si>
  <si>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</si>
  <si>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</si>
  <si>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</si>
  <si>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</si>
  <si>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</si>
  <si>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</si>
  <si>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</si>
  <si>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</si>
  <si>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</si>
  <si>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</si>
  <si>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</si>
  <si>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</si>
  <si>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</si>
  <si>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</si>
  <si>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</si>
  <si>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</si>
  <si>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</si>
  <si>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</si>
  <si>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</si>
  <si>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</si>
  <si>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</si>
  <si>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</si>
  <si>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</si>
  <si>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</si>
  <si>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</si>
  <si>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</si>
  <si>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</si>
  <si>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</si>
  <si>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</si>
  <si>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</si>
  <si>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</si>
  <si>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</si>
  <si>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</si>
  <si>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</si>
  <si>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</si>
  <si>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</si>
  <si>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</si>
  <si>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</si>
  <si>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</si>
  <si>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</si>
  <si>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</si>
  <si>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</si>
  <si>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</si>
  <si>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</si>
  <si>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</si>
  <si>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</si>
  <si>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</si>
  <si>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</si>
  <si>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</si>
  <si>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</si>
  <si>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</si>
  <si>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</si>
  <si>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</si>
  <si>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</si>
  <si>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</si>
  <si>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</si>
  <si>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</si>
  <si>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</si>
  <si>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</si>
  <si>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</si>
  <si>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</si>
  <si>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</si>
  <si>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</si>
  <si>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</si>
  <si>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</si>
  <si>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</si>
  <si>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</si>
  <si>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</si>
  <si>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</si>
  <si>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</si>
  <si>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</si>
  <si>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</si>
  <si>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</si>
  <si>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</si>
  <si>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</si>
  <si>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</si>
  <si>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</si>
  <si>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</si>
  <si>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</si>
  <si>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</si>
  <si>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</si>
  <si>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</si>
  <si>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</si>
  <si>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</si>
  <si>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</si>
  <si>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</si>
  <si>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</si>
  <si>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</si>
  <si>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</si>
  <si>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</si>
  <si>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</si>
  <si>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</si>
  <si>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</si>
  <si>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</si>
  <si>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</si>
  <si>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</si>
  <si>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</si>
  <si>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</si>
  <si>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</si>
  <si>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</si>
  <si>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</si>
  <si>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</si>
  <si>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</si>
  <si>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</si>
  <si>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</si>
  <si>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</si>
  <si>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</si>
  <si>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</si>
  <si>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</si>
  <si>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</si>
  <si>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</si>
  <si>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</si>
  <si>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</si>
  <si>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</si>
  <si>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</si>
  <si>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</si>
  <si>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</si>
  <si>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</si>
  <si>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</si>
  <si>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</si>
  <si>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</si>
  <si>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</si>
  <si>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</si>
  <si>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</si>
  <si>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</si>
  <si>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</si>
  <si>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</si>
  <si>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</si>
  <si>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</si>
  <si>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</si>
  <si>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</si>
  <si>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</si>
  <si>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</si>
  <si>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</si>
  <si>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</si>
  <si>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</si>
  <si>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</si>
  <si>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</si>
  <si>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</si>
  <si>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</si>
  <si>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</si>
  <si>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</si>
  <si>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</si>
  <si>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</si>
  <si>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</si>
  <si>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</si>
  <si>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</si>
  <si>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</si>
  <si>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</si>
  <si>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</si>
  <si>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</si>
  <si>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</si>
  <si>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</si>
  <si>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</si>
  <si>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</si>
  <si>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</si>
  <si>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</si>
  <si>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</si>
  <si>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</si>
  <si>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</si>
  <si>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</si>
  <si>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</si>
  <si>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</si>
  <si>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</si>
  <si>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</si>
  <si>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</si>
  <si>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</si>
  <si>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</si>
  <si>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</si>
  <si>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</si>
  <si>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</si>
  <si>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</si>
  <si>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</si>
  <si>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</si>
  <si>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</si>
  <si>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</si>
  <si>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</si>
  <si>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</si>
  <si>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</si>
  <si>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</si>
  <si>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</si>
  <si>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</si>
  <si>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</si>
  <si>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</si>
  <si>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</si>
  <si>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</si>
  <si>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</si>
  <si>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</si>
  <si>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</si>
  <si>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</si>
  <si>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</si>
  <si>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</si>
  <si>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</si>
  <si>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</si>
  <si>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</si>
  <si>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</si>
  <si>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</si>
  <si>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</si>
  <si>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</si>
  <si>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</si>
  <si>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</si>
  <si>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</si>
  <si>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</si>
  <si>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</si>
  <si>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</si>
  <si>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</si>
  <si>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</si>
  <si>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</si>
  <si>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</si>
  <si>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</si>
  <si>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</si>
  <si>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</si>
  <si>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</si>
  <si>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</si>
  <si>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</si>
  <si>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</si>
  <si>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</si>
  <si>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</si>
  <si>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</si>
  <si>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</si>
  <si>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</si>
  <si>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</si>
  <si>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</si>
  <si>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</si>
  <si>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</si>
  <si>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</si>
  <si>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</si>
  <si>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</si>
  <si>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</si>
  <si>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</si>
  <si>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</si>
  <si>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</si>
  <si>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</si>
  <si>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</si>
  <si>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</si>
  <si>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</si>
  <si>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</si>
  <si>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</si>
  <si>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</si>
  <si>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</si>
  <si>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FY1516 audit adjustments</t>
  </si>
  <si>
    <t>Pembroke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</si>
</sst>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0" zoomScaleNormal="110" workbookViewId="0">
      <pane xSplit="5" ySplit="3" topLeftCell="F643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427</v>
      </c>
      <c r="C2" s="21">
        <v>427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579861.34</v>
      </c>
      <c r="G9" s="18">
        <v>130645.86</v>
      </c>
      <c r="H9" s="18"/>
      <c r="I9" s="18"/>
      <c r="J9" s="67">
        <f>SUM(I439)</f>
        <v>830354.46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>
        <v>19711.22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256303.49</v>
      </c>
      <c r="G13" s="18">
        <v>34018.199999999997</v>
      </c>
      <c r="H13" s="18">
        <v>108882.17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0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24931.07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0</v>
      </c>
      <c r="G17" s="18">
        <v>0</v>
      </c>
      <c r="H17" s="18">
        <v>0</v>
      </c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>
        <v>10000</v>
      </c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836164.83</v>
      </c>
      <c r="G19" s="41">
        <f>SUM(G9:G18)</f>
        <v>209306.35000000003</v>
      </c>
      <c r="H19" s="41">
        <f>SUM(H9:H18)</f>
        <v>118882.17</v>
      </c>
      <c r="I19" s="41">
        <f>SUM(I9:I18)</f>
        <v>0</v>
      </c>
      <c r="J19" s="41">
        <f>SUM(J9:J18)</f>
        <v>830354.46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56881.74</v>
      </c>
      <c r="G22" s="18">
        <v>0</v>
      </c>
      <c r="H22" s="18">
        <v>101279.94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456750.99</v>
      </c>
      <c r="G23" s="18">
        <v>7069.47</v>
      </c>
      <c r="H23" s="18">
        <v>6326.57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36023.89</v>
      </c>
      <c r="G24" s="18">
        <v>0</v>
      </c>
      <c r="H24" s="18">
        <v>1614.75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0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3994.95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0</v>
      </c>
      <c r="G30" s="18"/>
      <c r="H30" s="18">
        <v>260.39999999999998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15519.56</v>
      </c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569171.13</v>
      </c>
      <c r="G32" s="41">
        <f>SUM(G22:G31)</f>
        <v>7069.47</v>
      </c>
      <c r="H32" s="41">
        <f>SUM(H22:H31)</f>
        <v>109481.66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180000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830354.46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50785.71</v>
      </c>
      <c r="G49" s="18">
        <v>202236.88</v>
      </c>
      <c r="H49" s="18">
        <v>9400.51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36207.99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266993.7</v>
      </c>
      <c r="G51" s="41">
        <f>SUM(G35:G50)</f>
        <v>202236.88</v>
      </c>
      <c r="H51" s="41">
        <f>SUM(H35:H50)</f>
        <v>9400.51</v>
      </c>
      <c r="I51" s="41">
        <f>SUM(I35:I50)</f>
        <v>0</v>
      </c>
      <c r="J51" s="41">
        <f>SUM(J35:J50)</f>
        <v>830354.46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836164.83000000007</v>
      </c>
      <c r="G52" s="41">
        <f>G51+G32</f>
        <v>209306.35</v>
      </c>
      <c r="H52" s="41">
        <f>H51+H32</f>
        <v>118882.17</v>
      </c>
      <c r="I52" s="41">
        <f>I51+I32</f>
        <v>0</v>
      </c>
      <c r="J52" s="41">
        <f>J51+J32</f>
        <v>830354.46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10032092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10032092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29393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12825</v>
      </c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5442027.1100000003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574427.87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0</v>
      </c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6058672.9800000004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>
        <v>6481.89</v>
      </c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>
        <v>0</v>
      </c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6481.89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1208.22</v>
      </c>
      <c r="G96" s="18">
        <v>86</v>
      </c>
      <c r="H96" s="18"/>
      <c r="I96" s="18"/>
      <c r="J96" s="18">
        <v>81.819999999999993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367742.16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5892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39438.449999999997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500</v>
      </c>
      <c r="G102" s="18"/>
      <c r="H102" s="18">
        <v>10000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0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246299.44</v>
      </c>
      <c r="G110" s="18">
        <v>17884.03</v>
      </c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293338.11</v>
      </c>
      <c r="G111" s="41">
        <f>SUM(G96:G110)</f>
        <v>385712.18999999994</v>
      </c>
      <c r="H111" s="41">
        <f>SUM(H96:H110)</f>
        <v>10000</v>
      </c>
      <c r="I111" s="41">
        <f>SUM(I96:I110)</f>
        <v>0</v>
      </c>
      <c r="J111" s="41">
        <f>SUM(J96:J110)</f>
        <v>81.819999999999993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16390584.98</v>
      </c>
      <c r="G112" s="41">
        <f>G60+G111</f>
        <v>385712.18999999994</v>
      </c>
      <c r="H112" s="41">
        <f>H60+H79+H94+H111</f>
        <v>10000</v>
      </c>
      <c r="I112" s="41">
        <f>I60+I111</f>
        <v>0</v>
      </c>
      <c r="J112" s="41">
        <f>J60+J111</f>
        <v>81.819999999999993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5584582.0499999998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1334350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6918932.0499999998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203173.4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4538.45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18082.2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8899.11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>
        <v>0</v>
      </c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225794.05000000002</v>
      </c>
      <c r="G136" s="41">
        <f>SUM(G123:G135)</f>
        <v>8899.11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7144726.0999999996</v>
      </c>
      <c r="G140" s="41">
        <f>G121+SUM(G136:G137)</f>
        <v>8899.11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323892.74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76495.600000000006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v>23833.96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292718.8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>
        <v>356290.34</v>
      </c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123104.98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>
        <v>0</v>
      </c>
      <c r="H161" s="18">
        <v>0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479395.32</v>
      </c>
      <c r="G162" s="41">
        <f>SUM(G150:G161)</f>
        <v>292718.8</v>
      </c>
      <c r="H162" s="41">
        <f>SUM(H150:H161)</f>
        <v>424222.3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479395.32</v>
      </c>
      <c r="G169" s="41">
        <f>G147+G162+SUM(G163:G168)</f>
        <v>292718.8</v>
      </c>
      <c r="H169" s="41">
        <f>H147+H162+SUM(H163:H168)</f>
        <v>424222.3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4845.9799999999996</v>
      </c>
      <c r="H179" s="18"/>
      <c r="I179" s="18"/>
      <c r="J179" s="18">
        <v>120000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4845.9799999999996</v>
      </c>
      <c r="H183" s="41">
        <f>SUM(H179:H182)</f>
        <v>0</v>
      </c>
      <c r="I183" s="41">
        <f>SUM(I179:I182)</f>
        <v>0</v>
      </c>
      <c r="J183" s="41">
        <f>SUM(J179:J182)</f>
        <v>120000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19718.900000000001</v>
      </c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0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19718.900000000001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19718.900000000001</v>
      </c>
      <c r="G192" s="41">
        <f>G183+SUM(G188:G191)</f>
        <v>4845.9799999999996</v>
      </c>
      <c r="H192" s="41">
        <f>+H183+SUM(H188:H191)</f>
        <v>0</v>
      </c>
      <c r="I192" s="41">
        <f>I177+I183+SUM(I188:I191)</f>
        <v>0</v>
      </c>
      <c r="J192" s="41">
        <f>J183</f>
        <v>120000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24034425.299999997</v>
      </c>
      <c r="G193" s="47">
        <f>G112+G140+G169+G192</f>
        <v>692176.07999999984</v>
      </c>
      <c r="H193" s="47">
        <f>H112+H140+H169+H192</f>
        <v>434222.3</v>
      </c>
      <c r="I193" s="47">
        <f>I112+I140+I169+I192</f>
        <v>0</v>
      </c>
      <c r="J193" s="47">
        <f>J112+J140+J192</f>
        <v>120081.82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3591978.65</v>
      </c>
      <c r="G197" s="18">
        <v>1941847.83</v>
      </c>
      <c r="H197" s="18">
        <v>70962.039999999994</v>
      </c>
      <c r="I197" s="18">
        <v>114048.13</v>
      </c>
      <c r="J197" s="18">
        <v>138768.41</v>
      </c>
      <c r="K197" s="18">
        <v>0</v>
      </c>
      <c r="L197" s="19">
        <f>SUM(F197:K197)</f>
        <v>5857605.0600000005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1392084.33</v>
      </c>
      <c r="G198" s="18">
        <v>752570.16</v>
      </c>
      <c r="H198" s="18">
        <v>572246.25</v>
      </c>
      <c r="I198" s="18">
        <v>5702.93</v>
      </c>
      <c r="J198" s="18">
        <v>933.36</v>
      </c>
      <c r="K198" s="18">
        <v>530</v>
      </c>
      <c r="L198" s="19">
        <f>SUM(F198:K198)</f>
        <v>2724067.0300000003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32364</v>
      </c>
      <c r="G200" s="18">
        <v>17496.2</v>
      </c>
      <c r="H200" s="18">
        <v>6148.5</v>
      </c>
      <c r="I200" s="18">
        <v>7300.2</v>
      </c>
      <c r="J200" s="18">
        <v>620</v>
      </c>
      <c r="K200" s="18">
        <v>620</v>
      </c>
      <c r="L200" s="19">
        <f>SUM(F200:K200)</f>
        <v>64548.899999999994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323354.59999999998</v>
      </c>
      <c r="G202" s="18">
        <v>174807.67</v>
      </c>
      <c r="H202" s="18">
        <v>324213.71999999997</v>
      </c>
      <c r="I202" s="18">
        <v>5599.14</v>
      </c>
      <c r="J202" s="18">
        <v>1078.07</v>
      </c>
      <c r="K202" s="18">
        <v>0</v>
      </c>
      <c r="L202" s="19">
        <f t="shared" ref="L202:L208" si="0">SUM(F202:K202)</f>
        <v>829053.2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130562.44</v>
      </c>
      <c r="G203" s="18">
        <v>70582.929999999993</v>
      </c>
      <c r="H203" s="18">
        <v>77772.94</v>
      </c>
      <c r="I203" s="18">
        <v>19129.82</v>
      </c>
      <c r="J203" s="18">
        <v>0</v>
      </c>
      <c r="K203" s="18"/>
      <c r="L203" s="19">
        <f t="shared" si="0"/>
        <v>298048.13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4191.46</v>
      </c>
      <c r="G204" s="18">
        <v>2265.9299999999998</v>
      </c>
      <c r="H204" s="18">
        <v>338712.2</v>
      </c>
      <c r="I204" s="18">
        <v>1106.8800000000001</v>
      </c>
      <c r="J204" s="18"/>
      <c r="K204" s="18">
        <v>3510.29</v>
      </c>
      <c r="L204" s="19">
        <f t="shared" si="0"/>
        <v>349786.76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541569.18999999994</v>
      </c>
      <c r="G205" s="18">
        <v>292775.95</v>
      </c>
      <c r="H205" s="18">
        <v>38333.26</v>
      </c>
      <c r="I205" s="18">
        <v>3674.79</v>
      </c>
      <c r="J205" s="18">
        <v>278.85000000000002</v>
      </c>
      <c r="K205" s="18">
        <v>4845.95</v>
      </c>
      <c r="L205" s="19">
        <f t="shared" si="0"/>
        <v>881477.98999999987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324685.68</v>
      </c>
      <c r="G207" s="18">
        <v>175527.27</v>
      </c>
      <c r="H207" s="18">
        <v>231925.79</v>
      </c>
      <c r="I207" s="18">
        <v>150918.56</v>
      </c>
      <c r="J207" s="18">
        <v>1146.26</v>
      </c>
      <c r="K207" s="18"/>
      <c r="L207" s="19">
        <f t="shared" si="0"/>
        <v>884203.56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505318.06</v>
      </c>
      <c r="I208" s="18"/>
      <c r="J208" s="18"/>
      <c r="K208" s="18"/>
      <c r="L208" s="19">
        <f t="shared" si="0"/>
        <v>505318.06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6340790.3499999996</v>
      </c>
      <c r="G211" s="41">
        <f t="shared" si="1"/>
        <v>3427873.9400000009</v>
      </c>
      <c r="H211" s="41">
        <f t="shared" si="1"/>
        <v>2165632.7599999998</v>
      </c>
      <c r="I211" s="41">
        <f t="shared" si="1"/>
        <v>307480.45</v>
      </c>
      <c r="J211" s="41">
        <f t="shared" si="1"/>
        <v>142824.95000000001</v>
      </c>
      <c r="K211" s="41">
        <f t="shared" si="1"/>
        <v>9506.24</v>
      </c>
      <c r="L211" s="41">
        <f t="shared" si="1"/>
        <v>12394108.690000001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2783968.77</v>
      </c>
      <c r="G233" s="18">
        <v>1578091.64</v>
      </c>
      <c r="H233" s="18">
        <v>55624.62</v>
      </c>
      <c r="I233" s="18">
        <v>60213.71</v>
      </c>
      <c r="J233" s="18">
        <v>92450.51</v>
      </c>
      <c r="K233" s="18">
        <v>275</v>
      </c>
      <c r="L233" s="19">
        <f>SUM(F233:K233)</f>
        <v>4570624.25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864540.34</v>
      </c>
      <c r="G234" s="18">
        <v>490064.36</v>
      </c>
      <c r="H234" s="18">
        <v>300938.5</v>
      </c>
      <c r="I234" s="18">
        <v>7759.27</v>
      </c>
      <c r="J234" s="18">
        <v>14396.19</v>
      </c>
      <c r="K234" s="18">
        <v>670</v>
      </c>
      <c r="L234" s="19">
        <f>SUM(F234:K234)</f>
        <v>1678368.66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372395.5</v>
      </c>
      <c r="G235" s="18">
        <v>211092.25</v>
      </c>
      <c r="H235" s="18">
        <v>142172.60999999999</v>
      </c>
      <c r="I235" s="18">
        <v>23392.29</v>
      </c>
      <c r="J235" s="18">
        <v>943.95</v>
      </c>
      <c r="K235" s="18">
        <v>0</v>
      </c>
      <c r="L235" s="19">
        <f>SUM(F235:K235)</f>
        <v>749996.6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310804.14</v>
      </c>
      <c r="G236" s="18">
        <v>176179.21</v>
      </c>
      <c r="H236" s="18">
        <v>68997.48</v>
      </c>
      <c r="I236" s="18">
        <v>17745.689999999999</v>
      </c>
      <c r="J236" s="18">
        <v>0</v>
      </c>
      <c r="K236" s="18">
        <v>46849.39</v>
      </c>
      <c r="L236" s="19">
        <f>SUM(F236:K236)</f>
        <v>620575.90999999992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393011.8</v>
      </c>
      <c r="G238" s="18">
        <v>222778.59</v>
      </c>
      <c r="H238" s="18">
        <v>119898.46</v>
      </c>
      <c r="I238" s="18">
        <v>1387.51</v>
      </c>
      <c r="J238" s="18">
        <v>2395</v>
      </c>
      <c r="K238" s="18">
        <v>1850</v>
      </c>
      <c r="L238" s="19">
        <f t="shared" ref="L238:L244" si="4">SUM(F238:K238)</f>
        <v>741321.36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96043.520000000004</v>
      </c>
      <c r="G239" s="18">
        <v>54442.23</v>
      </c>
      <c r="H239" s="18">
        <v>54944.31</v>
      </c>
      <c r="I239" s="18">
        <v>24167.040000000001</v>
      </c>
      <c r="J239" s="18">
        <v>6300.6</v>
      </c>
      <c r="K239" s="18"/>
      <c r="L239" s="19">
        <f t="shared" si="4"/>
        <v>235897.7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4201.4399999999996</v>
      </c>
      <c r="G240" s="18">
        <v>2381.58</v>
      </c>
      <c r="H240" s="18">
        <v>348184.05</v>
      </c>
      <c r="I240" s="18">
        <v>1005.19</v>
      </c>
      <c r="J240" s="18"/>
      <c r="K240" s="18">
        <v>3496.64</v>
      </c>
      <c r="L240" s="19">
        <f t="shared" si="4"/>
        <v>359268.9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699460.17</v>
      </c>
      <c r="G241" s="18">
        <v>396488.73</v>
      </c>
      <c r="H241" s="18">
        <v>33703.93</v>
      </c>
      <c r="I241" s="18">
        <v>8009.77</v>
      </c>
      <c r="J241" s="18">
        <v>0</v>
      </c>
      <c r="K241" s="18">
        <v>16869.39</v>
      </c>
      <c r="L241" s="19">
        <f t="shared" si="4"/>
        <v>1154531.9899999998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283540.36</v>
      </c>
      <c r="G243" s="18">
        <v>160724.76</v>
      </c>
      <c r="H243" s="18">
        <v>189712.42</v>
      </c>
      <c r="I243" s="18">
        <v>202376.37</v>
      </c>
      <c r="J243" s="18">
        <v>10754.74</v>
      </c>
      <c r="K243" s="18"/>
      <c r="L243" s="19">
        <f t="shared" si="4"/>
        <v>847108.65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193886.67</v>
      </c>
      <c r="I244" s="18"/>
      <c r="J244" s="18"/>
      <c r="K244" s="18"/>
      <c r="L244" s="19">
        <f t="shared" si="4"/>
        <v>193886.67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5807966.04</v>
      </c>
      <c r="G247" s="41">
        <f t="shared" si="5"/>
        <v>3292243.3499999996</v>
      </c>
      <c r="H247" s="41">
        <f t="shared" si="5"/>
        <v>1508063.0499999998</v>
      </c>
      <c r="I247" s="41">
        <f t="shared" si="5"/>
        <v>346056.83999999997</v>
      </c>
      <c r="J247" s="41">
        <f t="shared" si="5"/>
        <v>127240.99</v>
      </c>
      <c r="K247" s="41">
        <f t="shared" si="5"/>
        <v>70010.42</v>
      </c>
      <c r="L247" s="41">
        <f t="shared" si="5"/>
        <v>11151580.690000001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705375.62</v>
      </c>
      <c r="I255" s="18"/>
      <c r="J255" s="18"/>
      <c r="K255" s="18"/>
      <c r="L255" s="19">
        <f t="shared" si="6"/>
        <v>705375.62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705375.62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705375.62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12148756.390000001</v>
      </c>
      <c r="G257" s="41">
        <f t="shared" si="8"/>
        <v>6720117.290000001</v>
      </c>
      <c r="H257" s="41">
        <f t="shared" si="8"/>
        <v>4379071.43</v>
      </c>
      <c r="I257" s="41">
        <f t="shared" si="8"/>
        <v>653537.29</v>
      </c>
      <c r="J257" s="41">
        <f t="shared" si="8"/>
        <v>270065.94</v>
      </c>
      <c r="K257" s="41">
        <f t="shared" si="8"/>
        <v>79516.66</v>
      </c>
      <c r="L257" s="41">
        <f t="shared" si="8"/>
        <v>24251065.000000004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45000</v>
      </c>
      <c r="L260" s="19">
        <f>SUM(F260:K260)</f>
        <v>45000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5850</v>
      </c>
      <c r="L261" s="19">
        <f>SUM(F261:K261)</f>
        <v>5850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4845.9799999999996</v>
      </c>
      <c r="L263" s="19">
        <f>SUM(F263:K263)</f>
        <v>4845.9799999999996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120000</v>
      </c>
      <c r="L266" s="19">
        <f t="shared" si="9"/>
        <v>120000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15076.84</v>
      </c>
      <c r="L268" s="19">
        <f t="shared" si="9"/>
        <v>15076.84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190772.81999999998</v>
      </c>
      <c r="L270" s="41">
        <f t="shared" si="9"/>
        <v>190772.81999999998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12148756.390000001</v>
      </c>
      <c r="G271" s="42">
        <f t="shared" si="11"/>
        <v>6720117.290000001</v>
      </c>
      <c r="H271" s="42">
        <f t="shared" si="11"/>
        <v>4379071.43</v>
      </c>
      <c r="I271" s="42">
        <f t="shared" si="11"/>
        <v>653537.29</v>
      </c>
      <c r="J271" s="42">
        <f t="shared" si="11"/>
        <v>270065.94</v>
      </c>
      <c r="K271" s="42">
        <f t="shared" si="11"/>
        <v>270289.48</v>
      </c>
      <c r="L271" s="42">
        <f t="shared" si="11"/>
        <v>24441837.820000004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204123.84</v>
      </c>
      <c r="G276" s="18">
        <v>30595.88</v>
      </c>
      <c r="H276" s="18">
        <v>800</v>
      </c>
      <c r="I276" s="18">
        <v>26430.87</v>
      </c>
      <c r="J276" s="18">
        <v>22908.95</v>
      </c>
      <c r="K276" s="18"/>
      <c r="L276" s="19">
        <f>SUM(F276:K276)</f>
        <v>284859.53999999998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0</v>
      </c>
      <c r="G279" s="18">
        <v>0</v>
      </c>
      <c r="H279" s="18"/>
      <c r="I279" s="18">
        <v>599.49</v>
      </c>
      <c r="J279" s="18"/>
      <c r="K279" s="18"/>
      <c r="L279" s="19">
        <f>SUM(F279:K279)</f>
        <v>599.49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19816.75</v>
      </c>
      <c r="G281" s="18">
        <v>2218.4299999999998</v>
      </c>
      <c r="H281" s="18">
        <v>15000</v>
      </c>
      <c r="I281" s="18">
        <v>426.87</v>
      </c>
      <c r="J281" s="18"/>
      <c r="K281" s="18"/>
      <c r="L281" s="19">
        <f t="shared" ref="L281:L287" si="12">SUM(F281:K281)</f>
        <v>37462.050000000003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2450</v>
      </c>
      <c r="G282" s="18">
        <v>213.28</v>
      </c>
      <c r="H282" s="18">
        <v>18181.669999999998</v>
      </c>
      <c r="I282" s="18">
        <v>3000</v>
      </c>
      <c r="J282" s="18"/>
      <c r="K282" s="18"/>
      <c r="L282" s="19">
        <f t="shared" si="12"/>
        <v>23844.949999999997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>
        <v>8025.41</v>
      </c>
      <c r="L283" s="19">
        <f t="shared" si="12"/>
        <v>8025.41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0</v>
      </c>
      <c r="G284" s="18">
        <v>0</v>
      </c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>
        <v>75.459999999999994</v>
      </c>
      <c r="I286" s="18"/>
      <c r="J286" s="18"/>
      <c r="K286" s="18"/>
      <c r="L286" s="19">
        <f t="shared" si="12"/>
        <v>75.459999999999994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0</v>
      </c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226390.59</v>
      </c>
      <c r="G290" s="42">
        <f t="shared" si="13"/>
        <v>33027.589999999997</v>
      </c>
      <c r="H290" s="42">
        <f t="shared" si="13"/>
        <v>34057.129999999997</v>
      </c>
      <c r="I290" s="42">
        <f t="shared" si="13"/>
        <v>30457.23</v>
      </c>
      <c r="J290" s="42">
        <f t="shared" si="13"/>
        <v>22908.95</v>
      </c>
      <c r="K290" s="42">
        <f t="shared" si="13"/>
        <v>8025.41</v>
      </c>
      <c r="L290" s="41">
        <f t="shared" si="13"/>
        <v>354866.89999999997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28137.97</v>
      </c>
      <c r="G314" s="18">
        <v>3287.96</v>
      </c>
      <c r="H314" s="18"/>
      <c r="I314" s="18">
        <v>9695</v>
      </c>
      <c r="J314" s="18">
        <v>5000</v>
      </c>
      <c r="K314" s="18">
        <v>0</v>
      </c>
      <c r="L314" s="19">
        <f>SUM(F314:K314)</f>
        <v>46120.93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0</v>
      </c>
      <c r="G316" s="18">
        <v>0</v>
      </c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>
        <v>0</v>
      </c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>
        <v>504.81</v>
      </c>
      <c r="L321" s="19">
        <f t="shared" si="16"/>
        <v>504.81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28137.97</v>
      </c>
      <c r="G328" s="42">
        <f t="shared" si="17"/>
        <v>3287.96</v>
      </c>
      <c r="H328" s="42">
        <f t="shared" si="17"/>
        <v>0</v>
      </c>
      <c r="I328" s="42">
        <f t="shared" si="17"/>
        <v>9695</v>
      </c>
      <c r="J328" s="42">
        <f t="shared" si="17"/>
        <v>5000</v>
      </c>
      <c r="K328" s="42">
        <f t="shared" si="17"/>
        <v>504.81</v>
      </c>
      <c r="L328" s="41">
        <f t="shared" si="17"/>
        <v>46625.74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19010</v>
      </c>
      <c r="G333" s="18">
        <v>4319.1499999999996</v>
      </c>
      <c r="H333" s="18"/>
      <c r="I333" s="18"/>
      <c r="J333" s="18"/>
      <c r="K333" s="18"/>
      <c r="L333" s="19">
        <f t="shared" si="18"/>
        <v>23329.15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19010</v>
      </c>
      <c r="G337" s="41">
        <f t="shared" si="19"/>
        <v>4319.1499999999996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23329.15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273538.56</v>
      </c>
      <c r="G338" s="41">
        <f t="shared" si="20"/>
        <v>40634.699999999997</v>
      </c>
      <c r="H338" s="41">
        <f t="shared" si="20"/>
        <v>34057.129999999997</v>
      </c>
      <c r="I338" s="41">
        <f t="shared" si="20"/>
        <v>40152.229999999996</v>
      </c>
      <c r="J338" s="41">
        <f t="shared" si="20"/>
        <v>27908.95</v>
      </c>
      <c r="K338" s="41">
        <f t="shared" si="20"/>
        <v>8530.2199999999993</v>
      </c>
      <c r="L338" s="41">
        <f t="shared" si="20"/>
        <v>424821.79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273538.56</v>
      </c>
      <c r="G352" s="41">
        <f>G338</f>
        <v>40634.699999999997</v>
      </c>
      <c r="H352" s="41">
        <f>H338</f>
        <v>34057.129999999997</v>
      </c>
      <c r="I352" s="41">
        <f>I338</f>
        <v>40152.229999999996</v>
      </c>
      <c r="J352" s="41">
        <f>J338</f>
        <v>27908.95</v>
      </c>
      <c r="K352" s="47">
        <f>K338+K351</f>
        <v>8530.2199999999993</v>
      </c>
      <c r="L352" s="41">
        <f>L338+L351</f>
        <v>424821.79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107918</v>
      </c>
      <c r="G358" s="18">
        <v>64306.36</v>
      </c>
      <c r="H358" s="18">
        <v>4259.28</v>
      </c>
      <c r="I358" s="18">
        <v>121224.07</v>
      </c>
      <c r="J358" s="18">
        <v>2138.11</v>
      </c>
      <c r="K358" s="18">
        <v>202.5</v>
      </c>
      <c r="L358" s="13">
        <f>SUM(F358:K358)</f>
        <v>300048.31999999995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131899.76999999999</v>
      </c>
      <c r="G360" s="18">
        <v>78596.66</v>
      </c>
      <c r="H360" s="18">
        <v>5205.7700000000004</v>
      </c>
      <c r="I360" s="18">
        <v>148162.76</v>
      </c>
      <c r="J360" s="18">
        <v>2613.25</v>
      </c>
      <c r="K360" s="18">
        <v>247.5</v>
      </c>
      <c r="L360" s="19">
        <f>SUM(F360:K360)</f>
        <v>366725.70999999996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239817.77</v>
      </c>
      <c r="G362" s="47">
        <f t="shared" si="22"/>
        <v>142903.02000000002</v>
      </c>
      <c r="H362" s="47">
        <f t="shared" si="22"/>
        <v>9465.0499999999993</v>
      </c>
      <c r="I362" s="47">
        <f t="shared" si="22"/>
        <v>269386.83</v>
      </c>
      <c r="J362" s="47">
        <f t="shared" si="22"/>
        <v>4751.3600000000006</v>
      </c>
      <c r="K362" s="47">
        <f t="shared" si="22"/>
        <v>450</v>
      </c>
      <c r="L362" s="47">
        <f t="shared" si="22"/>
        <v>666774.02999999991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251706.89</v>
      </c>
      <c r="G367" s="18"/>
      <c r="H367" s="18"/>
      <c r="I367" s="56">
        <f>SUM(F367:H367)</f>
        <v>251706.89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17679.939999999999</v>
      </c>
      <c r="G368" s="63"/>
      <c r="H368" s="63"/>
      <c r="I368" s="56">
        <f>SUM(F368:H368)</f>
        <v>17679.939999999999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269386.83</v>
      </c>
      <c r="G369" s="47">
        <f>SUM(G367:G368)</f>
        <v>0</v>
      </c>
      <c r="H369" s="47">
        <f>SUM(H367:H368)</f>
        <v>0</v>
      </c>
      <c r="I369" s="47">
        <f>SUM(I367:I368)</f>
        <v>269386.83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>
        <v>20.399999999999999</v>
      </c>
      <c r="I389" s="18"/>
      <c r="J389" s="24" t="s">
        <v>288</v>
      </c>
      <c r="K389" s="24" t="s">
        <v>288</v>
      </c>
      <c r="L389" s="56">
        <f t="shared" si="25"/>
        <v>20.399999999999999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20.399999999999999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20.399999999999999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110000</v>
      </c>
      <c r="H396" s="18">
        <v>12.64</v>
      </c>
      <c r="I396" s="18"/>
      <c r="J396" s="24" t="s">
        <v>288</v>
      </c>
      <c r="K396" s="24" t="s">
        <v>288</v>
      </c>
      <c r="L396" s="56">
        <f t="shared" si="26"/>
        <v>110012.64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36.799999999999997</v>
      </c>
      <c r="I397" s="18"/>
      <c r="J397" s="24" t="s">
        <v>288</v>
      </c>
      <c r="K397" s="24" t="s">
        <v>288</v>
      </c>
      <c r="L397" s="56">
        <f t="shared" si="26"/>
        <v>36.799999999999997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>
        <v>10000</v>
      </c>
      <c r="H399" s="18">
        <v>2.56</v>
      </c>
      <c r="I399" s="18"/>
      <c r="J399" s="24" t="s">
        <v>288</v>
      </c>
      <c r="K399" s="24" t="s">
        <v>288</v>
      </c>
      <c r="L399" s="56">
        <f t="shared" si="26"/>
        <v>10002.56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9.42</v>
      </c>
      <c r="I400" s="18"/>
      <c r="J400" s="24" t="s">
        <v>288</v>
      </c>
      <c r="K400" s="24" t="s">
        <v>288</v>
      </c>
      <c r="L400" s="56">
        <f t="shared" si="26"/>
        <v>9.42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120000</v>
      </c>
      <c r="H401" s="47">
        <f>SUM(H395:H400)</f>
        <v>61.42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120061.42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120000</v>
      </c>
      <c r="H408" s="47">
        <f>H393+H401+H407</f>
        <v>81.819999999999993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120081.81999999999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>
        <v>130718.9</v>
      </c>
      <c r="L416" s="56">
        <f t="shared" si="27"/>
        <v>130718.9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130718.9</v>
      </c>
      <c r="L419" s="47">
        <f t="shared" si="28"/>
        <v>130718.9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130718.9</v>
      </c>
      <c r="L434" s="47">
        <f t="shared" si="32"/>
        <v>130718.9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164032.97</v>
      </c>
      <c r="G439" s="18">
        <v>666321.49</v>
      </c>
      <c r="H439" s="18"/>
      <c r="I439" s="56">
        <f t="shared" ref="I439:I445" si="33">SUM(F439:H439)</f>
        <v>830354.46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164032.97</v>
      </c>
      <c r="G446" s="13">
        <f>SUM(G439:G445)</f>
        <v>666321.49</v>
      </c>
      <c r="H446" s="13">
        <f>SUM(H439:H445)</f>
        <v>0</v>
      </c>
      <c r="I446" s="13">
        <f>SUM(I439:I445)</f>
        <v>830354.46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164032.97</v>
      </c>
      <c r="G459" s="18">
        <v>666321.49</v>
      </c>
      <c r="H459" s="18"/>
      <c r="I459" s="56">
        <f t="shared" si="34"/>
        <v>830354.46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164032.97</v>
      </c>
      <c r="G460" s="83">
        <f>SUM(G454:G459)</f>
        <v>666321.49</v>
      </c>
      <c r="H460" s="83">
        <f>SUM(H454:H459)</f>
        <v>0</v>
      </c>
      <c r="I460" s="83">
        <f>SUM(I454:I459)</f>
        <v>830354.46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164032.97</v>
      </c>
      <c r="G461" s="42">
        <f>G452+G460</f>
        <v>666321.49</v>
      </c>
      <c r="H461" s="42">
        <f>H452+H460</f>
        <v>0</v>
      </c>
      <c r="I461" s="42">
        <f>I452+I460</f>
        <v>830354.46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968678.2</v>
      </c>
      <c r="G465" s="18">
        <v>180316.68</v>
      </c>
      <c r="H465" s="18">
        <v>0</v>
      </c>
      <c r="I465" s="18"/>
      <c r="J465" s="18">
        <v>840991.54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24034425.300000001</v>
      </c>
      <c r="G468" s="18">
        <v>692176.08</v>
      </c>
      <c r="H468" s="18">
        <v>434222.3</v>
      </c>
      <c r="I468" s="18"/>
      <c r="J468" s="18">
        <v>120081.82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24034425.300000001</v>
      </c>
      <c r="G470" s="53">
        <f>SUM(G468:G469)</f>
        <v>692176.08</v>
      </c>
      <c r="H470" s="53">
        <f>SUM(H468:H469)</f>
        <v>434222.3</v>
      </c>
      <c r="I470" s="53">
        <f>SUM(I468:I469)</f>
        <v>0</v>
      </c>
      <c r="J470" s="53">
        <f>SUM(J468:J469)</f>
        <v>120081.82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24441837.82</v>
      </c>
      <c r="G472" s="18">
        <v>666774.03</v>
      </c>
      <c r="H472" s="18">
        <v>424821.79</v>
      </c>
      <c r="I472" s="18"/>
      <c r="J472" s="18">
        <v>130718.9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v>294271.98</v>
      </c>
      <c r="G473" s="18">
        <v>3481.85</v>
      </c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24736109.800000001</v>
      </c>
      <c r="G474" s="53">
        <f>SUM(G472:G473)</f>
        <v>670255.88</v>
      </c>
      <c r="H474" s="53">
        <f>SUM(H472:H473)</f>
        <v>424821.79</v>
      </c>
      <c r="I474" s="53">
        <f>SUM(I472:I473)</f>
        <v>0</v>
      </c>
      <c r="J474" s="53">
        <f>SUM(J472:J473)</f>
        <v>130718.9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266993.69999999925</v>
      </c>
      <c r="G476" s="53">
        <f>(G465+G470)- G474</f>
        <v>202236.88</v>
      </c>
      <c r="H476" s="53">
        <f>(H465+H470)- H474</f>
        <v>9400.5100000000093</v>
      </c>
      <c r="I476" s="53">
        <f>(I465+I470)- I474</f>
        <v>0</v>
      </c>
      <c r="J476" s="53">
        <f>(J465+J470)- J474</f>
        <v>830354.46000000008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912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F198</f>
        <v>1392084.33</v>
      </c>
      <c r="G521" s="18">
        <f t="shared" ref="G521:K521" si="36">G198</f>
        <v>752570.16</v>
      </c>
      <c r="H521" s="18">
        <f t="shared" si="36"/>
        <v>572246.25</v>
      </c>
      <c r="I521" s="18">
        <f t="shared" si="36"/>
        <v>5702.93</v>
      </c>
      <c r="J521" s="18">
        <f t="shared" si="36"/>
        <v>933.36</v>
      </c>
      <c r="K521" s="18">
        <f t="shared" si="36"/>
        <v>530</v>
      </c>
      <c r="L521" s="88">
        <f>SUM(F521:K521)</f>
        <v>2724067.0300000003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F234</f>
        <v>864540.34</v>
      </c>
      <c r="G523" s="18">
        <f t="shared" ref="G523:K523" si="37">G234</f>
        <v>490064.36</v>
      </c>
      <c r="H523" s="18">
        <f t="shared" si="37"/>
        <v>300938.5</v>
      </c>
      <c r="I523" s="18">
        <f t="shared" si="37"/>
        <v>7759.27</v>
      </c>
      <c r="J523" s="18">
        <f t="shared" si="37"/>
        <v>14396.19</v>
      </c>
      <c r="K523" s="18">
        <f t="shared" si="37"/>
        <v>670</v>
      </c>
      <c r="L523" s="88">
        <f>SUM(F523:K523)</f>
        <v>1678368.66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2256624.67</v>
      </c>
      <c r="G524" s="108">
        <f t="shared" ref="G524:L524" si="38">SUM(G521:G523)</f>
        <v>1242634.52</v>
      </c>
      <c r="H524" s="108">
        <f t="shared" si="38"/>
        <v>873184.75</v>
      </c>
      <c r="I524" s="108">
        <f t="shared" si="38"/>
        <v>13462.2</v>
      </c>
      <c r="J524" s="108">
        <f t="shared" si="38"/>
        <v>15329.550000000001</v>
      </c>
      <c r="K524" s="108">
        <f t="shared" si="38"/>
        <v>1200</v>
      </c>
      <c r="L524" s="89">
        <f t="shared" si="38"/>
        <v>4402435.6900000004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f>H202</f>
        <v>324213.71999999997</v>
      </c>
      <c r="I526" s="18"/>
      <c r="J526" s="18"/>
      <c r="K526" s="18"/>
      <c r="L526" s="88">
        <f>SUM(F526:K526)</f>
        <v>324213.71999999997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f>H202</f>
        <v>324213.71999999997</v>
      </c>
      <c r="I528" s="18"/>
      <c r="J528" s="18"/>
      <c r="K528" s="18"/>
      <c r="L528" s="88">
        <f>SUM(F528:K528)</f>
        <v>324213.71999999997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9">SUM(G526:G528)</f>
        <v>0</v>
      </c>
      <c r="H529" s="89">
        <f t="shared" si="39"/>
        <v>648427.43999999994</v>
      </c>
      <c r="I529" s="89">
        <f t="shared" si="39"/>
        <v>0</v>
      </c>
      <c r="J529" s="89">
        <f t="shared" si="39"/>
        <v>0</v>
      </c>
      <c r="K529" s="89">
        <f t="shared" si="39"/>
        <v>0</v>
      </c>
      <c r="L529" s="89">
        <f t="shared" si="39"/>
        <v>648427.43999999994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31441.94</v>
      </c>
      <c r="G531" s="18">
        <v>15296.46</v>
      </c>
      <c r="H531" s="18"/>
      <c r="I531" s="18"/>
      <c r="J531" s="18"/>
      <c r="K531" s="18"/>
      <c r="L531" s="88">
        <f>SUM(F531:K531)</f>
        <v>46738.399999999994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7860.48</v>
      </c>
      <c r="G533" s="18">
        <v>3824.12</v>
      </c>
      <c r="H533" s="18"/>
      <c r="I533" s="18"/>
      <c r="J533" s="18"/>
      <c r="K533" s="18"/>
      <c r="L533" s="88">
        <f>SUM(F533:K533)</f>
        <v>11684.599999999999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39302.42</v>
      </c>
      <c r="G534" s="89">
        <f t="shared" ref="G534:L534" si="40">SUM(G531:G533)</f>
        <v>19120.579999999998</v>
      </c>
      <c r="H534" s="89">
        <f t="shared" si="40"/>
        <v>0</v>
      </c>
      <c r="I534" s="89">
        <f t="shared" si="40"/>
        <v>0</v>
      </c>
      <c r="J534" s="89">
        <f t="shared" si="40"/>
        <v>0</v>
      </c>
      <c r="K534" s="89">
        <f t="shared" si="40"/>
        <v>0</v>
      </c>
      <c r="L534" s="89">
        <f t="shared" si="40"/>
        <v>58422.999999999993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41">SUM(G536:G538)</f>
        <v>0</v>
      </c>
      <c r="H539" s="89">
        <f t="shared" si="41"/>
        <v>0</v>
      </c>
      <c r="I539" s="89">
        <f t="shared" si="41"/>
        <v>0</v>
      </c>
      <c r="J539" s="89">
        <f t="shared" si="41"/>
        <v>0</v>
      </c>
      <c r="K539" s="89">
        <f t="shared" si="41"/>
        <v>0</v>
      </c>
      <c r="L539" s="89">
        <f t="shared" si="41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164975.9</v>
      </c>
      <c r="I541" s="18"/>
      <c r="J541" s="18"/>
      <c r="K541" s="18"/>
      <c r="L541" s="88">
        <f>SUM(F541:K541)</f>
        <v>164975.9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71901.59</v>
      </c>
      <c r="I543" s="18"/>
      <c r="J543" s="18"/>
      <c r="K543" s="18"/>
      <c r="L543" s="88">
        <f>SUM(F543:K543)</f>
        <v>71901.59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2">SUM(G541:G543)</f>
        <v>0</v>
      </c>
      <c r="H544" s="193">
        <f t="shared" si="42"/>
        <v>236877.49</v>
      </c>
      <c r="I544" s="193">
        <f t="shared" si="42"/>
        <v>0</v>
      </c>
      <c r="J544" s="193">
        <f t="shared" si="42"/>
        <v>0</v>
      </c>
      <c r="K544" s="193">
        <f t="shared" si="42"/>
        <v>0</v>
      </c>
      <c r="L544" s="193">
        <f t="shared" si="42"/>
        <v>236877.49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2295927.09</v>
      </c>
      <c r="G545" s="89">
        <f t="shared" ref="G545:L545" si="43">G524+G529+G534+G539+G544</f>
        <v>1261755.1000000001</v>
      </c>
      <c r="H545" s="89">
        <f t="shared" si="43"/>
        <v>1758489.68</v>
      </c>
      <c r="I545" s="89">
        <f t="shared" si="43"/>
        <v>13462.2</v>
      </c>
      <c r="J545" s="89">
        <f t="shared" si="43"/>
        <v>15329.550000000001</v>
      </c>
      <c r="K545" s="89">
        <f t="shared" si="43"/>
        <v>1200</v>
      </c>
      <c r="L545" s="89">
        <f t="shared" si="43"/>
        <v>5346163.620000001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2724067.0300000003</v>
      </c>
      <c r="G549" s="87">
        <f>L526</f>
        <v>324213.71999999997</v>
      </c>
      <c r="H549" s="87">
        <f>L531</f>
        <v>46738.399999999994</v>
      </c>
      <c r="I549" s="87">
        <f>L536</f>
        <v>0</v>
      </c>
      <c r="J549" s="87">
        <f>L541</f>
        <v>164975.9</v>
      </c>
      <c r="K549" s="87">
        <f>SUM(F549:J549)</f>
        <v>3259995.05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1678368.66</v>
      </c>
      <c r="G551" s="87">
        <f>L528</f>
        <v>324213.71999999997</v>
      </c>
      <c r="H551" s="87">
        <f>L533</f>
        <v>11684.599999999999</v>
      </c>
      <c r="I551" s="87">
        <f>L538</f>
        <v>0</v>
      </c>
      <c r="J551" s="87">
        <f>L543</f>
        <v>71901.59</v>
      </c>
      <c r="K551" s="87">
        <f>SUM(F551:J551)</f>
        <v>2086168.57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4">SUM(F549:F551)</f>
        <v>4402435.6900000004</v>
      </c>
      <c r="G552" s="89">
        <f t="shared" si="44"/>
        <v>648427.43999999994</v>
      </c>
      <c r="H552" s="89">
        <f t="shared" si="44"/>
        <v>58422.999999999993</v>
      </c>
      <c r="I552" s="89">
        <f t="shared" si="44"/>
        <v>0</v>
      </c>
      <c r="J552" s="89">
        <f t="shared" si="44"/>
        <v>236877.49</v>
      </c>
      <c r="K552" s="89">
        <f t="shared" si="44"/>
        <v>5346163.62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5">SUM(F557:F559)</f>
        <v>0</v>
      </c>
      <c r="G560" s="108">
        <f t="shared" si="45"/>
        <v>0</v>
      </c>
      <c r="H560" s="108">
        <f t="shared" si="45"/>
        <v>0</v>
      </c>
      <c r="I560" s="108">
        <f t="shared" si="45"/>
        <v>0</v>
      </c>
      <c r="J560" s="108">
        <f t="shared" si="45"/>
        <v>0</v>
      </c>
      <c r="K560" s="108">
        <f t="shared" si="45"/>
        <v>0</v>
      </c>
      <c r="L560" s="89">
        <f t="shared" si="45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2482.1999999999998</v>
      </c>
      <c r="G562" s="18"/>
      <c r="H562" s="18"/>
      <c r="I562" s="18"/>
      <c r="J562" s="18"/>
      <c r="K562" s="18"/>
      <c r="L562" s="88">
        <f>SUM(F562:K562)</f>
        <v>2482.1999999999998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7368.27</v>
      </c>
      <c r="G564" s="18"/>
      <c r="H564" s="18">
        <v>425.01</v>
      </c>
      <c r="I564" s="18"/>
      <c r="J564" s="18"/>
      <c r="K564" s="18"/>
      <c r="L564" s="88">
        <f>SUM(F564:K564)</f>
        <v>7793.2800000000007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6">SUM(F562:F564)</f>
        <v>9850.4700000000012</v>
      </c>
      <c r="G565" s="89">
        <f t="shared" si="46"/>
        <v>0</v>
      </c>
      <c r="H565" s="89">
        <f t="shared" si="46"/>
        <v>425.01</v>
      </c>
      <c r="I565" s="89">
        <f t="shared" si="46"/>
        <v>0</v>
      </c>
      <c r="J565" s="89">
        <f t="shared" si="46"/>
        <v>0</v>
      </c>
      <c r="K565" s="89">
        <f t="shared" si="46"/>
        <v>0</v>
      </c>
      <c r="L565" s="89">
        <f t="shared" si="46"/>
        <v>10275.48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7">SUM(G567:G569)</f>
        <v>0</v>
      </c>
      <c r="H570" s="193">
        <f t="shared" si="47"/>
        <v>0</v>
      </c>
      <c r="I570" s="193">
        <f t="shared" si="47"/>
        <v>0</v>
      </c>
      <c r="J570" s="193">
        <f t="shared" si="47"/>
        <v>0</v>
      </c>
      <c r="K570" s="193">
        <f t="shared" si="47"/>
        <v>0</v>
      </c>
      <c r="L570" s="193">
        <f t="shared" si="47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9850.4700000000012</v>
      </c>
      <c r="G571" s="89">
        <f t="shared" ref="G571:L571" si="48">G560+G565+G570</f>
        <v>0</v>
      </c>
      <c r="H571" s="89">
        <f t="shared" si="48"/>
        <v>425.01</v>
      </c>
      <c r="I571" s="89">
        <f t="shared" si="48"/>
        <v>0</v>
      </c>
      <c r="J571" s="89">
        <f t="shared" si="48"/>
        <v>0</v>
      </c>
      <c r="K571" s="89">
        <f t="shared" si="48"/>
        <v>0</v>
      </c>
      <c r="L571" s="89">
        <f t="shared" si="48"/>
        <v>10275.48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9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9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9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353527.11</v>
      </c>
      <c r="G579" s="18"/>
      <c r="H579" s="18">
        <v>36124.379999999997</v>
      </c>
      <c r="I579" s="87">
        <f t="shared" si="49"/>
        <v>389651.49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>
        <v>27375.97</v>
      </c>
      <c r="I580" s="87">
        <f t="shared" si="49"/>
        <v>27375.97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9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80139.67</v>
      </c>
      <c r="G582" s="18"/>
      <c r="H582" s="18">
        <v>68709.070000000007</v>
      </c>
      <c r="I582" s="87">
        <f t="shared" si="49"/>
        <v>148848.74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>
        <v>96406.45</v>
      </c>
      <c r="I583" s="87">
        <f t="shared" si="49"/>
        <v>96406.45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141917.66</v>
      </c>
      <c r="I584" s="87">
        <f t="shared" si="49"/>
        <v>141917.66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9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9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9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330889.98</v>
      </c>
      <c r="I591" s="18"/>
      <c r="J591" s="18">
        <v>0</v>
      </c>
      <c r="K591" s="104">
        <f t="shared" ref="K591:K597" si="50">SUM(H591:J591)</f>
        <v>330889.98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164975.9</v>
      </c>
      <c r="I592" s="18"/>
      <c r="J592" s="18">
        <v>71901.59</v>
      </c>
      <c r="K592" s="104">
        <f t="shared" si="50"/>
        <v>236877.49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70930.17</v>
      </c>
      <c r="K593" s="104">
        <f t="shared" si="50"/>
        <v>70930.17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4188.96</v>
      </c>
      <c r="I594" s="18"/>
      <c r="J594" s="18">
        <v>44997.39</v>
      </c>
      <c r="K594" s="104">
        <f t="shared" si="50"/>
        <v>49186.35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5263.22</v>
      </c>
      <c r="I595" s="18"/>
      <c r="J595" s="18">
        <v>6057.52</v>
      </c>
      <c r="K595" s="104">
        <f t="shared" si="50"/>
        <v>11320.740000000002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0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0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505318.06</v>
      </c>
      <c r="I598" s="108">
        <f>SUM(I591:I597)</f>
        <v>0</v>
      </c>
      <c r="J598" s="108">
        <f>SUM(J591:J597)</f>
        <v>193886.67</v>
      </c>
      <c r="K598" s="108">
        <f>SUM(K591:K597)</f>
        <v>699204.73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J257</f>
        <v>270065.94</v>
      </c>
      <c r="I604" s="18"/>
      <c r="J604" s="18">
        <f>J338</f>
        <v>27908.95</v>
      </c>
      <c r="K604" s="104">
        <f>SUM(H604:J604)</f>
        <v>297974.89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270065.94</v>
      </c>
      <c r="I605" s="108">
        <f>SUM(I602:I604)</f>
        <v>0</v>
      </c>
      <c r="J605" s="108">
        <f>SUM(J602:J604)</f>
        <v>27908.95</v>
      </c>
      <c r="K605" s="108">
        <f>SUM(K602:K604)</f>
        <v>297974.89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1">SUM(F611:F613)</f>
        <v>0</v>
      </c>
      <c r="G614" s="108">
        <f t="shared" si="51"/>
        <v>0</v>
      </c>
      <c r="H614" s="108">
        <f t="shared" si="51"/>
        <v>0</v>
      </c>
      <c r="I614" s="108">
        <f t="shared" si="51"/>
        <v>0</v>
      </c>
      <c r="J614" s="108">
        <f t="shared" si="51"/>
        <v>0</v>
      </c>
      <c r="K614" s="108">
        <f t="shared" si="51"/>
        <v>0</v>
      </c>
      <c r="L614" s="89">
        <f t="shared" si="51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836164.83</v>
      </c>
      <c r="H617" s="109">
        <f>SUM(F52)</f>
        <v>836164.83000000007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209306.35000000003</v>
      </c>
      <c r="H618" s="109">
        <f>SUM(G52)</f>
        <v>209306.35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118882.17</v>
      </c>
      <c r="H619" s="109">
        <f>SUM(H52)</f>
        <v>118882.17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830354.46</v>
      </c>
      <c r="H621" s="109">
        <f>SUM(J52)</f>
        <v>830354.46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266993.7</v>
      </c>
      <c r="H622" s="109">
        <f>F476</f>
        <v>266993.69999999925</v>
      </c>
      <c r="I622" s="121" t="s">
        <v>101</v>
      </c>
      <c r="J622" s="109">
        <f t="shared" ref="J622:J655" si="52">G622-H622</f>
        <v>7.5669959187507629E-10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202236.88</v>
      </c>
      <c r="H623" s="109">
        <f>G476</f>
        <v>202236.88</v>
      </c>
      <c r="I623" s="121" t="s">
        <v>102</v>
      </c>
      <c r="J623" s="109">
        <f t="shared" si="52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9400.51</v>
      </c>
      <c r="H624" s="109">
        <f>H476</f>
        <v>9400.5100000000093</v>
      </c>
      <c r="I624" s="121" t="s">
        <v>103</v>
      </c>
      <c r="J624" s="109">
        <f t="shared" si="52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2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830354.46</v>
      </c>
      <c r="H626" s="109">
        <f>J476</f>
        <v>830354.46000000008</v>
      </c>
      <c r="I626" s="140" t="s">
        <v>105</v>
      </c>
      <c r="J626" s="109">
        <f t="shared" si="52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24034425.299999997</v>
      </c>
      <c r="H627" s="104">
        <f>SUM(F468)</f>
        <v>24034425.300000001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692176.07999999984</v>
      </c>
      <c r="H628" s="104">
        <f>SUM(G468)</f>
        <v>692176.08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434222.3</v>
      </c>
      <c r="H629" s="104">
        <f>SUM(H468)</f>
        <v>434222.3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120081.82</v>
      </c>
      <c r="H631" s="104">
        <f>SUM(J468)</f>
        <v>120081.82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24441837.820000004</v>
      </c>
      <c r="H632" s="104">
        <f>SUM(F472)</f>
        <v>24441837.82</v>
      </c>
      <c r="I632" s="140" t="s">
        <v>111</v>
      </c>
      <c r="J632" s="109">
        <f t="shared" si="52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424821.79</v>
      </c>
      <c r="H633" s="104">
        <f>SUM(H472)</f>
        <v>424821.79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269386.83</v>
      </c>
      <c r="H634" s="104">
        <f>I369</f>
        <v>269386.83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666774.02999999991</v>
      </c>
      <c r="H635" s="104">
        <f>SUM(G472)</f>
        <v>666774.03</v>
      </c>
      <c r="I635" s="140" t="s">
        <v>114</v>
      </c>
      <c r="J635" s="109">
        <f t="shared" si="52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2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120081.81999999999</v>
      </c>
      <c r="H637" s="164">
        <f>SUM(J468)</f>
        <v>120081.82</v>
      </c>
      <c r="I637" s="165" t="s">
        <v>110</v>
      </c>
      <c r="J637" s="151">
        <f t="shared" si="52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130718.9</v>
      </c>
      <c r="H638" s="164">
        <f>SUM(J472)</f>
        <v>130718.9</v>
      </c>
      <c r="I638" s="165" t="s">
        <v>117</v>
      </c>
      <c r="J638" s="151">
        <f t="shared" si="52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164032.97</v>
      </c>
      <c r="H639" s="104">
        <f>SUM(F461)</f>
        <v>164032.97</v>
      </c>
      <c r="I639" s="140" t="s">
        <v>856</v>
      </c>
      <c r="J639" s="109">
        <f t="shared" si="52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666321.49</v>
      </c>
      <c r="H640" s="104">
        <f>SUM(G461)</f>
        <v>666321.49</v>
      </c>
      <c r="I640" s="140" t="s">
        <v>857</v>
      </c>
      <c r="J640" s="109">
        <f t="shared" si="52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2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830354.46</v>
      </c>
      <c r="H642" s="104">
        <f>SUM(I461)</f>
        <v>830354.46</v>
      </c>
      <c r="I642" s="140" t="s">
        <v>859</v>
      </c>
      <c r="J642" s="109">
        <f t="shared" si="52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2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81.819999999999993</v>
      </c>
      <c r="H644" s="104">
        <f>H408</f>
        <v>81.819999999999993</v>
      </c>
      <c r="I644" s="140" t="s">
        <v>480</v>
      </c>
      <c r="J644" s="109">
        <f t="shared" si="52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120000</v>
      </c>
      <c r="H645" s="104">
        <f>G408</f>
        <v>120000</v>
      </c>
      <c r="I645" s="140" t="s">
        <v>481</v>
      </c>
      <c r="J645" s="109">
        <f t="shared" si="52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120081.82</v>
      </c>
      <c r="H646" s="104">
        <f>L408</f>
        <v>120081.81999999999</v>
      </c>
      <c r="I646" s="140" t="s">
        <v>477</v>
      </c>
      <c r="J646" s="109">
        <f t="shared" si="52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699204.73</v>
      </c>
      <c r="H647" s="104">
        <f>L208+L226+L244</f>
        <v>699204.73</v>
      </c>
      <c r="I647" s="140" t="s">
        <v>396</v>
      </c>
      <c r="J647" s="109">
        <f t="shared" si="52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297974.89</v>
      </c>
      <c r="H648" s="104">
        <f>(J257+J338)-(J255+J336)</f>
        <v>297974.89</v>
      </c>
      <c r="I648" s="140" t="s">
        <v>702</v>
      </c>
      <c r="J648" s="109">
        <f t="shared" si="52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505318.06</v>
      </c>
      <c r="H649" s="104">
        <f>H598</f>
        <v>505318.06</v>
      </c>
      <c r="I649" s="140" t="s">
        <v>388</v>
      </c>
      <c r="J649" s="109">
        <f t="shared" si="52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2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193886.67</v>
      </c>
      <c r="H651" s="104">
        <f>J598</f>
        <v>193886.67</v>
      </c>
      <c r="I651" s="140" t="s">
        <v>390</v>
      </c>
      <c r="J651" s="109">
        <f t="shared" si="52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4845.9799999999996</v>
      </c>
      <c r="H652" s="104">
        <f>K263+K345</f>
        <v>4845.9799999999996</v>
      </c>
      <c r="I652" s="140" t="s">
        <v>397</v>
      </c>
      <c r="J652" s="109">
        <f t="shared" si="52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2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2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120000</v>
      </c>
      <c r="H655" s="104">
        <f>K266+K347</f>
        <v>120000</v>
      </c>
      <c r="I655" s="140" t="s">
        <v>400</v>
      </c>
      <c r="J655" s="109">
        <f t="shared" si="52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13049023.910000002</v>
      </c>
      <c r="G660" s="19">
        <f>(L229+L309+L359)</f>
        <v>0</v>
      </c>
      <c r="H660" s="19">
        <f>(L247+L328+L360)</f>
        <v>11564932.140000001</v>
      </c>
      <c r="I660" s="19">
        <f>SUM(F660:H660)</f>
        <v>24613956.050000004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173531.78925924993</v>
      </c>
      <c r="G661" s="19">
        <f>(L359/IF(SUM(L358:L360)=0,1,SUM(L358:L360))*(SUM(G97:G110)))</f>
        <v>0</v>
      </c>
      <c r="H661" s="19">
        <f>(L360/IF(SUM(L358:L360)=0,1,SUM(L358:L360))*(SUM(G97:G110)))</f>
        <v>212094.40074075005</v>
      </c>
      <c r="I661" s="19">
        <f>SUM(F661:H661)</f>
        <v>385626.18999999994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505318.06</v>
      </c>
      <c r="G662" s="19">
        <f>(L226+L306)-(J226+J306)</f>
        <v>0</v>
      </c>
      <c r="H662" s="19">
        <f>(L244+L325)-(J244+J325)</f>
        <v>193886.67</v>
      </c>
      <c r="I662" s="19">
        <f>SUM(F662:H662)</f>
        <v>699204.73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703732.72</v>
      </c>
      <c r="G663" s="199">
        <f>SUM(G575:G587)+SUM(I602:I604)+L612</f>
        <v>0</v>
      </c>
      <c r="H663" s="199">
        <f>SUM(H575:H587)+SUM(J602:J604)+L613</f>
        <v>398442.48000000004</v>
      </c>
      <c r="I663" s="19">
        <f>SUM(F663:H663)</f>
        <v>1102175.2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11666441.340740751</v>
      </c>
      <c r="G664" s="19">
        <f>G660-SUM(G661:G663)</f>
        <v>0</v>
      </c>
      <c r="H664" s="19">
        <f>H660-SUM(H661:H663)</f>
        <v>10760508.58925925</v>
      </c>
      <c r="I664" s="19">
        <f>I660-SUM(I661:I663)</f>
        <v>22426949.930000003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727.94</v>
      </c>
      <c r="G665" s="248"/>
      <c r="H665" s="248">
        <v>783.99</v>
      </c>
      <c r="I665" s="19">
        <f>SUM(F665:H665)</f>
        <v>1511.93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16026.65</v>
      </c>
      <c r="G667" s="19" t="e">
        <f>ROUND(G664/G665,2)</f>
        <v>#DIV/0!</v>
      </c>
      <c r="H667" s="19">
        <f>ROUND(H664/H665,2)</f>
        <v>13725.31</v>
      </c>
      <c r="I667" s="19">
        <f>ROUND(I664/I665,2)</f>
        <v>14833.33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-22</v>
      </c>
      <c r="I670" s="19">
        <f>SUM(F670:H670)</f>
        <v>-22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16026.65</v>
      </c>
      <c r="G672" s="19" t="e">
        <f>ROUND((G664+G669)/(G665+G670),2)</f>
        <v>#DIV/0!</v>
      </c>
      <c r="H672" s="19">
        <f>ROUND((H664+H669)/(H665+H670),2)</f>
        <v>14121.59</v>
      </c>
      <c r="I672" s="19">
        <f>ROUND((I664+I669)/(I665+I670),2)</f>
        <v>15052.35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9" sqref="C2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Pembroke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6608209.2299999995</v>
      </c>
      <c r="C9" s="229">
        <f>'DOE25'!G197+'DOE25'!G215+'DOE25'!G233+'DOE25'!G276+'DOE25'!G295+'DOE25'!G314</f>
        <v>3553823.3099999996</v>
      </c>
    </row>
    <row r="10" spans="1:3" x14ac:dyDescent="0.2">
      <c r="A10" t="s">
        <v>778</v>
      </c>
      <c r="B10" s="240">
        <v>6287164.5599999996</v>
      </c>
      <c r="C10" s="240">
        <v>3381168.97</v>
      </c>
    </row>
    <row r="11" spans="1:3" x14ac:dyDescent="0.2">
      <c r="A11" t="s">
        <v>779</v>
      </c>
      <c r="B11" s="240">
        <v>151896.79999999999</v>
      </c>
      <c r="C11" s="240">
        <v>81688.45</v>
      </c>
    </row>
    <row r="12" spans="1:3" x14ac:dyDescent="0.2">
      <c r="A12" t="s">
        <v>780</v>
      </c>
      <c r="B12" s="240">
        <v>169147.87</v>
      </c>
      <c r="C12" s="240">
        <v>90965.89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6608209.2299999995</v>
      </c>
      <c r="C13" s="231">
        <f>SUM(C10:C12)</f>
        <v>3553823.3100000005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2256624.67</v>
      </c>
      <c r="C18" s="229">
        <f>'DOE25'!G198+'DOE25'!G216+'DOE25'!G234+'DOE25'!G277+'DOE25'!G296+'DOE25'!G315</f>
        <v>1242634.52</v>
      </c>
    </row>
    <row r="19" spans="1:3" x14ac:dyDescent="0.2">
      <c r="A19" t="s">
        <v>778</v>
      </c>
      <c r="B19" s="240">
        <v>1341553.6499999999</v>
      </c>
      <c r="C19" s="240">
        <v>738740.87</v>
      </c>
    </row>
    <row r="20" spans="1:3" x14ac:dyDescent="0.2">
      <c r="A20" t="s">
        <v>779</v>
      </c>
      <c r="B20" s="240">
        <v>728951.78</v>
      </c>
      <c r="C20" s="240">
        <v>401405.1</v>
      </c>
    </row>
    <row r="21" spans="1:3" x14ac:dyDescent="0.2">
      <c r="A21" t="s">
        <v>780</v>
      </c>
      <c r="B21" s="240">
        <v>186119.24</v>
      </c>
      <c r="C21" s="240">
        <v>102488.55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2256624.67</v>
      </c>
      <c r="C22" s="231">
        <f>SUM(C19:C21)</f>
        <v>1242634.52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372395.5</v>
      </c>
      <c r="C27" s="234">
        <f>'DOE25'!G199+'DOE25'!G217+'DOE25'!G235+'DOE25'!G278+'DOE25'!G297+'DOE25'!G316</f>
        <v>211092.25</v>
      </c>
    </row>
    <row r="28" spans="1:3" x14ac:dyDescent="0.2">
      <c r="A28" t="s">
        <v>778</v>
      </c>
      <c r="B28" s="240">
        <v>372395.5</v>
      </c>
      <c r="C28" s="240">
        <v>211092.25</v>
      </c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372395.5</v>
      </c>
      <c r="C31" s="231">
        <f>SUM(C28:C30)</f>
        <v>211092.25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343168.14</v>
      </c>
      <c r="C36" s="235">
        <f>'DOE25'!G200+'DOE25'!G218+'DOE25'!G236+'DOE25'!G279+'DOE25'!G298+'DOE25'!G317</f>
        <v>193675.41</v>
      </c>
    </row>
    <row r="37" spans="1:3" x14ac:dyDescent="0.2">
      <c r="A37" t="s">
        <v>778</v>
      </c>
      <c r="B37" s="240">
        <v>226563.08</v>
      </c>
      <c r="C37" s="240">
        <v>127866.47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116605.06</v>
      </c>
      <c r="C39" s="240">
        <v>65808.94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343168.14</v>
      </c>
      <c r="C40" s="231">
        <f>SUM(C37:C39)</f>
        <v>193675.41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G664" sqref="G664"/>
      <selection pane="bottomLeft" activeCell="G664" sqref="G66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Pembroke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16265786.41</v>
      </c>
      <c r="D5" s="20">
        <f>SUM('DOE25'!L197:L200)+SUM('DOE25'!L215:L218)+SUM('DOE25'!L233:L236)-F5-G5</f>
        <v>15968729.6</v>
      </c>
      <c r="E5" s="243"/>
      <c r="F5" s="255">
        <f>SUM('DOE25'!J197:J200)+SUM('DOE25'!J215:J218)+SUM('DOE25'!J233:J236)</f>
        <v>248112.41999999998</v>
      </c>
      <c r="G5" s="53">
        <f>SUM('DOE25'!K197:K200)+SUM('DOE25'!K215:K218)+SUM('DOE25'!K233:K236)</f>
        <v>48944.39</v>
      </c>
      <c r="H5" s="259"/>
    </row>
    <row r="6" spans="1:9" x14ac:dyDescent="0.2">
      <c r="A6" s="32">
        <v>2100</v>
      </c>
      <c r="B6" t="s">
        <v>800</v>
      </c>
      <c r="C6" s="245">
        <f t="shared" si="0"/>
        <v>1570374.56</v>
      </c>
      <c r="D6" s="20">
        <f>'DOE25'!L202+'DOE25'!L220+'DOE25'!L238-F6-G6</f>
        <v>1565051.49</v>
      </c>
      <c r="E6" s="243"/>
      <c r="F6" s="255">
        <f>'DOE25'!J202+'DOE25'!J220+'DOE25'!J238</f>
        <v>3473.0699999999997</v>
      </c>
      <c r="G6" s="53">
        <f>'DOE25'!K202+'DOE25'!K220+'DOE25'!K238</f>
        <v>1850</v>
      </c>
      <c r="H6" s="259"/>
    </row>
    <row r="7" spans="1:9" x14ac:dyDescent="0.2">
      <c r="A7" s="32">
        <v>2200</v>
      </c>
      <c r="B7" t="s">
        <v>833</v>
      </c>
      <c r="C7" s="245">
        <f t="shared" si="0"/>
        <v>533945.83000000007</v>
      </c>
      <c r="D7" s="20">
        <f>'DOE25'!L203+'DOE25'!L221+'DOE25'!L239-F7-G7</f>
        <v>527645.2300000001</v>
      </c>
      <c r="E7" s="243"/>
      <c r="F7" s="255">
        <f>'DOE25'!J203+'DOE25'!J221+'DOE25'!J239</f>
        <v>6300.6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522083.66</v>
      </c>
      <c r="D8" s="243"/>
      <c r="E8" s="20">
        <f>'DOE25'!L204+'DOE25'!L222+'DOE25'!L240-F8-G8-D9-D11</f>
        <v>515076.73</v>
      </c>
      <c r="F8" s="255">
        <f>'DOE25'!J204+'DOE25'!J222+'DOE25'!J240</f>
        <v>0</v>
      </c>
      <c r="G8" s="53">
        <f>'DOE25'!K204+'DOE25'!K222+'DOE25'!K240</f>
        <v>7006.93</v>
      </c>
      <c r="H8" s="259"/>
    </row>
    <row r="9" spans="1:9" x14ac:dyDescent="0.2">
      <c r="A9" s="32">
        <v>2310</v>
      </c>
      <c r="B9" t="s">
        <v>817</v>
      </c>
      <c r="C9" s="245">
        <f t="shared" si="0"/>
        <v>12311</v>
      </c>
      <c r="D9" s="244">
        <v>12311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10000</v>
      </c>
      <c r="D10" s="243"/>
      <c r="E10" s="244">
        <v>10000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174661</v>
      </c>
      <c r="D11" s="244">
        <v>174661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2036009.9799999995</v>
      </c>
      <c r="D12" s="20">
        <f>'DOE25'!L205+'DOE25'!L223+'DOE25'!L241-F12-G12</f>
        <v>2014015.7899999993</v>
      </c>
      <c r="E12" s="243"/>
      <c r="F12" s="255">
        <f>'DOE25'!J205+'DOE25'!J223+'DOE25'!J241</f>
        <v>278.85000000000002</v>
      </c>
      <c r="G12" s="53">
        <f>'DOE25'!K205+'DOE25'!K223+'DOE25'!K241</f>
        <v>21715.34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1731312.21</v>
      </c>
      <c r="D14" s="20">
        <f>'DOE25'!L207+'DOE25'!L225+'DOE25'!L243-F14-G14</f>
        <v>1719411.21</v>
      </c>
      <c r="E14" s="243"/>
      <c r="F14" s="255">
        <f>'DOE25'!J207+'DOE25'!J225+'DOE25'!J243</f>
        <v>11901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699204.73</v>
      </c>
      <c r="D15" s="20">
        <f>'DOE25'!L208+'DOE25'!L226+'DOE25'!L244-F15-G15</f>
        <v>699204.73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705375.62</v>
      </c>
      <c r="D22" s="243"/>
      <c r="E22" s="243"/>
      <c r="F22" s="255">
        <f>'DOE25'!L255+'DOE25'!L336</f>
        <v>705375.62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50850</v>
      </c>
      <c r="D25" s="243"/>
      <c r="E25" s="243"/>
      <c r="F25" s="258"/>
      <c r="G25" s="256"/>
      <c r="H25" s="257">
        <f>'DOE25'!L260+'DOE25'!L261+'DOE25'!L341+'DOE25'!L342</f>
        <v>50850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415067.1399999999</v>
      </c>
      <c r="D29" s="20">
        <f>'DOE25'!L358+'DOE25'!L359+'DOE25'!L360-'DOE25'!I367-F29-G29</f>
        <v>409865.77999999991</v>
      </c>
      <c r="E29" s="243"/>
      <c r="F29" s="255">
        <f>'DOE25'!J358+'DOE25'!J359+'DOE25'!J360</f>
        <v>4751.3600000000006</v>
      </c>
      <c r="G29" s="53">
        <f>'DOE25'!K358+'DOE25'!K359+'DOE25'!K360</f>
        <v>450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424821.79</v>
      </c>
      <c r="D31" s="20">
        <f>'DOE25'!L290+'DOE25'!L309+'DOE25'!L328+'DOE25'!L333+'DOE25'!L334+'DOE25'!L335-F31-G31</f>
        <v>388382.62</v>
      </c>
      <c r="E31" s="243"/>
      <c r="F31" s="255">
        <f>'DOE25'!J290+'DOE25'!J309+'DOE25'!J328+'DOE25'!J333+'DOE25'!J334+'DOE25'!J335</f>
        <v>27908.95</v>
      </c>
      <c r="G31" s="53">
        <f>'DOE25'!K290+'DOE25'!K309+'DOE25'!K328+'DOE25'!K333+'DOE25'!K334+'DOE25'!K335</f>
        <v>8530.2199999999993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23479278.450000003</v>
      </c>
      <c r="E33" s="246">
        <f>SUM(E5:E31)</f>
        <v>525076.73</v>
      </c>
      <c r="F33" s="246">
        <f>SUM(F5:F31)</f>
        <v>1008101.87</v>
      </c>
      <c r="G33" s="246">
        <f>SUM(G5:G31)</f>
        <v>88496.88</v>
      </c>
      <c r="H33" s="246">
        <f>SUM(H5:H31)</f>
        <v>50850</v>
      </c>
    </row>
    <row r="35" spans="2:8" ht="12" thickBot="1" x14ac:dyDescent="0.25">
      <c r="B35" s="253" t="s">
        <v>846</v>
      </c>
      <c r="D35" s="254">
        <f>E33</f>
        <v>525076.73</v>
      </c>
      <c r="E35" s="249"/>
    </row>
    <row r="36" spans="2:8" ht="12" thickTop="1" x14ac:dyDescent="0.2">
      <c r="B36" t="s">
        <v>814</v>
      </c>
      <c r="D36" s="20">
        <f>D33</f>
        <v>23479278.450000003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G664" sqref="G664"/>
      <selection pane="bottomLeft" activeCell="G664" sqref="G66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Pembroke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579861.34</v>
      </c>
      <c r="D8" s="95">
        <f>'DOE25'!G9</f>
        <v>130645.86</v>
      </c>
      <c r="E8" s="95">
        <f>'DOE25'!H9</f>
        <v>0</v>
      </c>
      <c r="F8" s="95">
        <f>'DOE25'!I9</f>
        <v>0</v>
      </c>
      <c r="G8" s="95">
        <f>'DOE25'!J9</f>
        <v>830354.46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19711.22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256303.49</v>
      </c>
      <c r="D12" s="95">
        <f>'DOE25'!G13</f>
        <v>34018.199999999997</v>
      </c>
      <c r="E12" s="95">
        <f>'DOE25'!H13</f>
        <v>108882.17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24931.07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10000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836164.83</v>
      </c>
      <c r="D18" s="41">
        <f>SUM(D8:D17)</f>
        <v>209306.35000000003</v>
      </c>
      <c r="E18" s="41">
        <f>SUM(E8:E17)</f>
        <v>118882.17</v>
      </c>
      <c r="F18" s="41">
        <f>SUM(F8:F17)</f>
        <v>0</v>
      </c>
      <c r="G18" s="41">
        <f>SUM(G8:G17)</f>
        <v>830354.46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56881.74</v>
      </c>
      <c r="D21" s="95">
        <f>'DOE25'!G22</f>
        <v>0</v>
      </c>
      <c r="E21" s="95">
        <f>'DOE25'!H22</f>
        <v>101279.94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456750.99</v>
      </c>
      <c r="D22" s="95">
        <f>'DOE25'!G23</f>
        <v>7069.47</v>
      </c>
      <c r="E22" s="95">
        <f>'DOE25'!H23</f>
        <v>6326.57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36023.89</v>
      </c>
      <c r="D23" s="95">
        <f>'DOE25'!G24</f>
        <v>0</v>
      </c>
      <c r="E23" s="95">
        <f>'DOE25'!H24</f>
        <v>1614.75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3994.95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260.39999999999998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15519.56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569171.13</v>
      </c>
      <c r="D31" s="41">
        <f>SUM(D21:D30)</f>
        <v>7069.47</v>
      </c>
      <c r="E31" s="41">
        <f>SUM(E21:E30)</f>
        <v>109481.66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180000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830354.46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50785.71</v>
      </c>
      <c r="D48" s="95">
        <f>'DOE25'!G49</f>
        <v>202236.88</v>
      </c>
      <c r="E48" s="95">
        <f>'DOE25'!H49</f>
        <v>9400.51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36207.99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266993.7</v>
      </c>
      <c r="D50" s="41">
        <f>SUM(D34:D49)</f>
        <v>202236.88</v>
      </c>
      <c r="E50" s="41">
        <f>SUM(E34:E49)</f>
        <v>9400.51</v>
      </c>
      <c r="F50" s="41">
        <f>SUM(F34:F49)</f>
        <v>0</v>
      </c>
      <c r="G50" s="41">
        <f>SUM(G34:G49)</f>
        <v>830354.46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836164.83000000007</v>
      </c>
      <c r="D51" s="41">
        <f>D50+D31</f>
        <v>209306.35</v>
      </c>
      <c r="E51" s="41">
        <f>E50+E31</f>
        <v>118882.17</v>
      </c>
      <c r="F51" s="41">
        <f>F50+F31</f>
        <v>0</v>
      </c>
      <c r="G51" s="41">
        <f>G50+G31</f>
        <v>830354.46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10032092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6058672.9800000004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6481.89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1208.22</v>
      </c>
      <c r="D59" s="95">
        <f>'DOE25'!G96</f>
        <v>86</v>
      </c>
      <c r="E59" s="95">
        <f>'DOE25'!H96</f>
        <v>0</v>
      </c>
      <c r="F59" s="95">
        <f>'DOE25'!I96</f>
        <v>0</v>
      </c>
      <c r="G59" s="95">
        <f>'DOE25'!J96</f>
        <v>81.819999999999993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367742.16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292129.89</v>
      </c>
      <c r="D61" s="95">
        <f>SUM('DOE25'!G98:G110)</f>
        <v>17884.03</v>
      </c>
      <c r="E61" s="95">
        <f>SUM('DOE25'!H98:H110)</f>
        <v>10000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6358492.9799999995</v>
      </c>
      <c r="D62" s="130">
        <f>SUM(D57:D61)</f>
        <v>385712.18999999994</v>
      </c>
      <c r="E62" s="130">
        <f>SUM(E57:E61)</f>
        <v>10000</v>
      </c>
      <c r="F62" s="130">
        <f>SUM(F57:F61)</f>
        <v>0</v>
      </c>
      <c r="G62" s="130">
        <f>SUM(G57:G61)</f>
        <v>81.819999999999993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16390584.98</v>
      </c>
      <c r="D63" s="22">
        <f>D56+D62</f>
        <v>385712.18999999994</v>
      </c>
      <c r="E63" s="22">
        <f>E56+E62</f>
        <v>10000</v>
      </c>
      <c r="F63" s="22">
        <f>F56+F62</f>
        <v>0</v>
      </c>
      <c r="G63" s="22">
        <f>G56+G62</f>
        <v>81.819999999999993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5584582.0499999998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1334350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6918932.0499999998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203173.4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4538.45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18082.2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8899.11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225794.05000000002</v>
      </c>
      <c r="D78" s="130">
        <f>SUM(D72:D77)</f>
        <v>8899.11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7144726.0999999996</v>
      </c>
      <c r="D81" s="130">
        <f>SUM(D79:D80)+D78+D70</f>
        <v>8899.11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479395.32</v>
      </c>
      <c r="D88" s="95">
        <f>SUM('DOE25'!G153:G161)</f>
        <v>292718.8</v>
      </c>
      <c r="E88" s="95">
        <f>SUM('DOE25'!H153:H161)</f>
        <v>424222.3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479395.32</v>
      </c>
      <c r="D91" s="131">
        <f>SUM(D85:D90)</f>
        <v>292718.8</v>
      </c>
      <c r="E91" s="131">
        <f>SUM(E85:E90)</f>
        <v>424222.3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4845.9799999999996</v>
      </c>
      <c r="E96" s="95">
        <f>'DOE25'!H179</f>
        <v>0</v>
      </c>
      <c r="F96" s="95">
        <f>'DOE25'!I179</f>
        <v>0</v>
      </c>
      <c r="G96" s="95">
        <f>'DOE25'!J179</f>
        <v>120000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19718.900000000001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19718.900000000001</v>
      </c>
      <c r="D103" s="86">
        <f>SUM(D93:D102)</f>
        <v>4845.9799999999996</v>
      </c>
      <c r="E103" s="86">
        <f>SUM(E93:E102)</f>
        <v>0</v>
      </c>
      <c r="F103" s="86">
        <f>SUM(F93:F102)</f>
        <v>0</v>
      </c>
      <c r="G103" s="86">
        <f>SUM(G93:G102)</f>
        <v>120000</v>
      </c>
    </row>
    <row r="104" spans="1:7" ht="12.75" thickTop="1" thickBot="1" x14ac:dyDescent="0.25">
      <c r="A104" s="33" t="s">
        <v>764</v>
      </c>
      <c r="C104" s="86">
        <f>C63+C81+C91+C103</f>
        <v>24034425.299999997</v>
      </c>
      <c r="D104" s="86">
        <f>D63+D81+D91+D103</f>
        <v>692176.07999999984</v>
      </c>
      <c r="E104" s="86">
        <f>E63+E81+E91+E103</f>
        <v>434222.3</v>
      </c>
      <c r="F104" s="86">
        <f>F63+F81+F91+F103</f>
        <v>0</v>
      </c>
      <c r="G104" s="86">
        <f>G63+G81+G103</f>
        <v>120081.82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10428229.310000001</v>
      </c>
      <c r="D109" s="24" t="s">
        <v>288</v>
      </c>
      <c r="E109" s="95">
        <f>('DOE25'!L276)+('DOE25'!L295)+('DOE25'!L314)</f>
        <v>330980.46999999997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4402435.6900000004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749996.6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685124.80999999994</v>
      </c>
      <c r="D112" s="24" t="s">
        <v>288</v>
      </c>
      <c r="E112" s="95">
        <f>+('DOE25'!L279)+('DOE25'!L298)+('DOE25'!L317)</f>
        <v>599.49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23329.15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16265786.41</v>
      </c>
      <c r="D115" s="86">
        <f>SUM(D109:D114)</f>
        <v>0</v>
      </c>
      <c r="E115" s="86">
        <f>SUM(E109:E114)</f>
        <v>354909.11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1570374.56</v>
      </c>
      <c r="D118" s="24" t="s">
        <v>288</v>
      </c>
      <c r="E118" s="95">
        <f>+('DOE25'!L281)+('DOE25'!L300)+('DOE25'!L319)</f>
        <v>37462.050000000003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533945.83000000007</v>
      </c>
      <c r="D119" s="24" t="s">
        <v>288</v>
      </c>
      <c r="E119" s="95">
        <f>+('DOE25'!L282)+('DOE25'!L301)+('DOE25'!L320)</f>
        <v>23844.949999999997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709055.66</v>
      </c>
      <c r="D120" s="24" t="s">
        <v>288</v>
      </c>
      <c r="E120" s="95">
        <f>+('DOE25'!L283)+('DOE25'!L302)+('DOE25'!L321)</f>
        <v>8530.2199999999993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2036009.9799999995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1731312.21</v>
      </c>
      <c r="D123" s="24" t="s">
        <v>288</v>
      </c>
      <c r="E123" s="95">
        <f>+('DOE25'!L286)+('DOE25'!L305)+('DOE25'!L324)</f>
        <v>75.459999999999994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699204.73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666774.02999999991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7279902.9699999988</v>
      </c>
      <c r="D128" s="86">
        <f>SUM(D118:D127)</f>
        <v>666774.02999999991</v>
      </c>
      <c r="E128" s="86">
        <f>SUM(E118:E127)</f>
        <v>69912.680000000008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705375.62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45000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5850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130718.9</v>
      </c>
    </row>
    <row r="135" spans="1:7" x14ac:dyDescent="0.2">
      <c r="A135" t="s">
        <v>233</v>
      </c>
      <c r="B135" s="32" t="s">
        <v>234</v>
      </c>
      <c r="C135" s="95">
        <f>'DOE25'!L263</f>
        <v>4845.9799999999996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20.399999999999999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120061.42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-81.819999999992433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15076.84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896148.44000000006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130718.9</v>
      </c>
    </row>
    <row r="145" spans="1:9" ht="12.75" thickTop="1" thickBot="1" x14ac:dyDescent="0.25">
      <c r="A145" s="33" t="s">
        <v>244</v>
      </c>
      <c r="C145" s="86">
        <f>(C115+C128+C144)</f>
        <v>24441837.82</v>
      </c>
      <c r="D145" s="86">
        <f>(D115+D128+D144)</f>
        <v>666774.02999999991</v>
      </c>
      <c r="E145" s="86">
        <f>(E115+E128+E144)</f>
        <v>424821.79</v>
      </c>
      <c r="F145" s="86">
        <f>(F115+F128+F144)</f>
        <v>0</v>
      </c>
      <c r="G145" s="86">
        <f>(G115+G128+G144)</f>
        <v>130718.9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G664" sqref="G66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Pembroke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16027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14122</v>
      </c>
    </row>
    <row r="7" spans="1:4" x14ac:dyDescent="0.2">
      <c r="B7" t="s">
        <v>704</v>
      </c>
      <c r="C7" s="179">
        <f>IF('DOE25'!I665+'DOE25'!I670=0,0,ROUND('DOE25'!I672,0))</f>
        <v>15052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10759210</v>
      </c>
      <c r="D10" s="182">
        <f>ROUND((C10/$C$28)*100,1)</f>
        <v>44.3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4402436</v>
      </c>
      <c r="D11" s="182">
        <f>ROUND((C11/$C$28)*100,1)</f>
        <v>18.100000000000001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749997</v>
      </c>
      <c r="D12" s="182">
        <f>ROUND((C12/$C$28)*100,1)</f>
        <v>3.1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685724</v>
      </c>
      <c r="D13" s="182">
        <f>ROUND((C13/$C$28)*100,1)</f>
        <v>2.8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1607837</v>
      </c>
      <c r="D15" s="182">
        <f t="shared" ref="D15:D27" si="0">ROUND((C15/$C$28)*100,1)</f>
        <v>6.6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557791</v>
      </c>
      <c r="D16" s="182">
        <f t="shared" si="0"/>
        <v>2.2999999999999998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717586</v>
      </c>
      <c r="D17" s="182">
        <f t="shared" si="0"/>
        <v>3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2036010</v>
      </c>
      <c r="D18" s="182">
        <f t="shared" si="0"/>
        <v>8.4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1731388</v>
      </c>
      <c r="D20" s="182">
        <f t="shared" si="0"/>
        <v>7.1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699205</v>
      </c>
      <c r="D21" s="182">
        <f t="shared" si="0"/>
        <v>2.9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23329</v>
      </c>
      <c r="D24" s="182">
        <f t="shared" si="0"/>
        <v>0.1</v>
      </c>
    </row>
    <row r="25" spans="1:4" x14ac:dyDescent="0.2">
      <c r="A25">
        <v>5120</v>
      </c>
      <c r="B25" t="s">
        <v>719</v>
      </c>
      <c r="C25" s="179">
        <f>ROUND('DOE25'!L261+'DOE25'!L342,0)</f>
        <v>5850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15076.84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281147.81000000006</v>
      </c>
      <c r="D27" s="182">
        <f t="shared" si="0"/>
        <v>1.2</v>
      </c>
    </row>
    <row r="28" spans="1:4" x14ac:dyDescent="0.2">
      <c r="B28" s="187" t="s">
        <v>722</v>
      </c>
      <c r="C28" s="180">
        <f>SUM(C10:C27)</f>
        <v>24272587.649999999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705376</v>
      </c>
    </row>
    <row r="30" spans="1:4" x14ac:dyDescent="0.2">
      <c r="B30" s="187" t="s">
        <v>728</v>
      </c>
      <c r="C30" s="180">
        <f>SUM(C28:C29)</f>
        <v>24977963.649999999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45000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10032092</v>
      </c>
      <c r="D35" s="182">
        <f t="shared" ref="D35:D40" si="1">ROUND((C35/$C$41)*100,1)</f>
        <v>40.5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6368660.8000000026</v>
      </c>
      <c r="D36" s="182">
        <f t="shared" si="1"/>
        <v>25.7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6918932</v>
      </c>
      <c r="D37" s="182">
        <f t="shared" si="1"/>
        <v>28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234693</v>
      </c>
      <c r="D38" s="182">
        <f t="shared" si="1"/>
        <v>0.9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1196336</v>
      </c>
      <c r="D39" s="182">
        <f t="shared" si="1"/>
        <v>4.8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24750713.800000004</v>
      </c>
      <c r="D41" s="184">
        <f>SUM(D35:D40)</f>
        <v>99.9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G664" sqref="G664"/>
      <selection pane="bottomLeft" activeCell="G664" sqref="G66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Pembroke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2017-10-17T12:59:26Z</cp:lastPrinted>
  <dcterms:created xsi:type="dcterms:W3CDTF">1997-12-04T19:04:30Z</dcterms:created>
  <dcterms:modified xsi:type="dcterms:W3CDTF">2017-11-29T17:58:00Z</dcterms:modified>
</cp:coreProperties>
</file>