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7" i="10" s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C109" i="2" s="1"/>
  <c r="L234" i="1"/>
  <c r="C11" i="10" s="1"/>
  <c r="L235" i="1"/>
  <c r="L236" i="1"/>
  <c r="F6" i="13"/>
  <c r="G6" i="13"/>
  <c r="L202" i="1"/>
  <c r="L220" i="1"/>
  <c r="L238" i="1"/>
  <c r="F7" i="13"/>
  <c r="G7" i="13"/>
  <c r="L203" i="1"/>
  <c r="L221" i="1"/>
  <c r="L239" i="1"/>
  <c r="C119" i="2" s="1"/>
  <c r="F12" i="13"/>
  <c r="G12" i="13"/>
  <c r="L205" i="1"/>
  <c r="L223" i="1"/>
  <c r="L241" i="1"/>
  <c r="C121" i="2" s="1"/>
  <c r="F14" i="13"/>
  <c r="G14" i="13"/>
  <c r="L207" i="1"/>
  <c r="L225" i="1"/>
  <c r="L243" i="1"/>
  <c r="C123" i="2" s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E109" i="2" s="1"/>
  <c r="L315" i="1"/>
  <c r="L316" i="1"/>
  <c r="L317" i="1"/>
  <c r="L319" i="1"/>
  <c r="L320" i="1"/>
  <c r="L321" i="1"/>
  <c r="L322" i="1"/>
  <c r="L323" i="1"/>
  <c r="E122" i="2" s="1"/>
  <c r="L324" i="1"/>
  <c r="L325" i="1"/>
  <c r="L326" i="1"/>
  <c r="L333" i="1"/>
  <c r="L334" i="1"/>
  <c r="L335" i="1"/>
  <c r="L260" i="1"/>
  <c r="C131" i="2" s="1"/>
  <c r="L261" i="1"/>
  <c r="C25" i="10" s="1"/>
  <c r="L341" i="1"/>
  <c r="L342" i="1"/>
  <c r="L255" i="1"/>
  <c r="F22" i="13" s="1"/>
  <c r="C22" i="13" s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401" i="1" s="1"/>
  <c r="C139" i="2" s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I147" i="1"/>
  <c r="I162" i="1"/>
  <c r="C18" i="10"/>
  <c r="C20" i="10"/>
  <c r="C21" i="10"/>
  <c r="L250" i="1"/>
  <c r="L332" i="1"/>
  <c r="L254" i="1"/>
  <c r="L268" i="1"/>
  <c r="L269" i="1"/>
  <c r="L349" i="1"/>
  <c r="L350" i="1"/>
  <c r="I665" i="1"/>
  <c r="I670" i="1"/>
  <c r="L211" i="1"/>
  <c r="L229" i="1"/>
  <c r="F661" i="1"/>
  <c r="G661" i="1"/>
  <c r="H661" i="1"/>
  <c r="F662" i="1"/>
  <c r="G662" i="1"/>
  <c r="H662" i="1"/>
  <c r="I669" i="1"/>
  <c r="C42" i="10"/>
  <c r="C32" i="10"/>
  <c r="L374" i="1"/>
  <c r="L375" i="1"/>
  <c r="F130" i="2" s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G552" i="1" s="1"/>
  <c r="L531" i="1"/>
  <c r="H549" i="1" s="1"/>
  <c r="L532" i="1"/>
  <c r="H550" i="1" s="1"/>
  <c r="L533" i="1"/>
  <c r="H551" i="1" s="1"/>
  <c r="H552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D18" i="2" s="1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E112" i="2"/>
  <c r="C113" i="2"/>
  <c r="E113" i="2"/>
  <c r="C114" i="2"/>
  <c r="E114" i="2"/>
  <c r="D115" i="2"/>
  <c r="F115" i="2"/>
  <c r="G115" i="2"/>
  <c r="C118" i="2"/>
  <c r="E118" i="2"/>
  <c r="E119" i="2"/>
  <c r="E120" i="2"/>
  <c r="E121" i="2"/>
  <c r="C122" i="2"/>
  <c r="E123" i="2"/>
  <c r="C124" i="2"/>
  <c r="E124" i="2"/>
  <c r="C125" i="2"/>
  <c r="E125" i="2"/>
  <c r="D127" i="2"/>
  <c r="D128" i="2" s="1"/>
  <c r="F128" i="2"/>
  <c r="G128" i="2"/>
  <c r="E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F257" i="1" s="1"/>
  <c r="F271" i="1" s="1"/>
  <c r="G247" i="1"/>
  <c r="G257" i="1" s="1"/>
  <c r="G271" i="1" s="1"/>
  <c r="H247" i="1"/>
  <c r="I247" i="1"/>
  <c r="I257" i="1" s="1"/>
  <c r="I271" i="1" s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F338" i="1" s="1"/>
  <c r="F352" i="1" s="1"/>
  <c r="G328" i="1"/>
  <c r="G338" i="1" s="1"/>
  <c r="G352" i="1" s="1"/>
  <c r="H328" i="1"/>
  <c r="H338" i="1" s="1"/>
  <c r="H352" i="1" s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H408" i="1" s="1"/>
  <c r="H644" i="1" s="1"/>
  <c r="J644" i="1" s="1"/>
  <c r="I393" i="1"/>
  <c r="F401" i="1"/>
  <c r="G401" i="1"/>
  <c r="H401" i="1"/>
  <c r="I401" i="1"/>
  <c r="F407" i="1"/>
  <c r="G407" i="1"/>
  <c r="H407" i="1"/>
  <c r="I407" i="1"/>
  <c r="F408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I446" i="1"/>
  <c r="F452" i="1"/>
  <c r="G452" i="1"/>
  <c r="H452" i="1"/>
  <c r="I452" i="1"/>
  <c r="F460" i="1"/>
  <c r="G460" i="1"/>
  <c r="H460" i="1"/>
  <c r="I460" i="1"/>
  <c r="I461" i="1" s="1"/>
  <c r="H642" i="1" s="1"/>
  <c r="F461" i="1"/>
  <c r="H639" i="1" s="1"/>
  <c r="G461" i="1"/>
  <c r="H461" i="1"/>
  <c r="F470" i="1"/>
  <c r="G470" i="1"/>
  <c r="G476" i="1" s="1"/>
  <c r="H623" i="1" s="1"/>
  <c r="H470" i="1"/>
  <c r="I470" i="1"/>
  <c r="J470" i="1"/>
  <c r="F474" i="1"/>
  <c r="G474" i="1"/>
  <c r="H474" i="1"/>
  <c r="I474" i="1"/>
  <c r="I476" i="1" s="1"/>
  <c r="H625" i="1" s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I545" i="1" s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8" i="1" s="1"/>
  <c r="G647" i="1" s="1"/>
  <c r="J647" i="1" s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G624" i="1"/>
  <c r="H627" i="1"/>
  <c r="H628" i="1"/>
  <c r="H629" i="1"/>
  <c r="H630" i="1"/>
  <c r="H631" i="1"/>
  <c r="H632" i="1"/>
  <c r="H633" i="1"/>
  <c r="G634" i="1"/>
  <c r="H634" i="1"/>
  <c r="H635" i="1"/>
  <c r="H636" i="1"/>
  <c r="J636" i="1" s="1"/>
  <c r="H637" i="1"/>
  <c r="H638" i="1"/>
  <c r="G640" i="1"/>
  <c r="H640" i="1"/>
  <c r="G641" i="1"/>
  <c r="H641" i="1"/>
  <c r="G642" i="1"/>
  <c r="G643" i="1"/>
  <c r="H643" i="1"/>
  <c r="G644" i="1"/>
  <c r="G645" i="1"/>
  <c r="H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K257" i="1"/>
  <c r="K271" i="1" s="1"/>
  <c r="G164" i="2"/>
  <c r="C26" i="10"/>
  <c r="L351" i="1"/>
  <c r="I662" i="1"/>
  <c r="L290" i="1"/>
  <c r="F660" i="1" s="1"/>
  <c r="A31" i="12"/>
  <c r="A40" i="12"/>
  <c r="D12" i="13"/>
  <c r="C12" i="13" s="1"/>
  <c r="D18" i="13"/>
  <c r="C18" i="13" s="1"/>
  <c r="D15" i="13"/>
  <c r="C15" i="13" s="1"/>
  <c r="D17" i="13"/>
  <c r="C17" i="13" s="1"/>
  <c r="C91" i="2"/>
  <c r="F78" i="2"/>
  <c r="F81" i="2" s="1"/>
  <c r="D31" i="2"/>
  <c r="D50" i="2"/>
  <c r="G157" i="2"/>
  <c r="F18" i="2"/>
  <c r="G161" i="2"/>
  <c r="G156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H112" i="1"/>
  <c r="J641" i="1"/>
  <c r="K605" i="1"/>
  <c r="G648" i="1" s="1"/>
  <c r="J571" i="1"/>
  <c r="K571" i="1"/>
  <c r="L433" i="1"/>
  <c r="L419" i="1"/>
  <c r="D81" i="2"/>
  <c r="I169" i="1"/>
  <c r="H169" i="1"/>
  <c r="J643" i="1"/>
  <c r="J476" i="1"/>
  <c r="H626" i="1" s="1"/>
  <c r="H476" i="1"/>
  <c r="H624" i="1" s="1"/>
  <c r="J624" i="1" s="1"/>
  <c r="J140" i="1"/>
  <c r="F571" i="1"/>
  <c r="F664" i="1"/>
  <c r="F672" i="1" s="1"/>
  <c r="C4" i="10" s="1"/>
  <c r="I552" i="1"/>
  <c r="K549" i="1"/>
  <c r="K550" i="1"/>
  <c r="G22" i="2"/>
  <c r="K545" i="1"/>
  <c r="J552" i="1"/>
  <c r="H140" i="1"/>
  <c r="L393" i="1"/>
  <c r="A13" i="12"/>
  <c r="J640" i="1"/>
  <c r="J634" i="1"/>
  <c r="H571" i="1"/>
  <c r="L560" i="1"/>
  <c r="J545" i="1"/>
  <c r="G192" i="1"/>
  <c r="H192" i="1"/>
  <c r="F552" i="1"/>
  <c r="L309" i="1"/>
  <c r="E16" i="13"/>
  <c r="J655" i="1"/>
  <c r="J645" i="1"/>
  <c r="L570" i="1"/>
  <c r="I571" i="1"/>
  <c r="G36" i="2"/>
  <c r="L565" i="1"/>
  <c r="C138" i="2"/>
  <c r="C16" i="13"/>
  <c r="C70" i="2" l="1"/>
  <c r="F476" i="1"/>
  <c r="H622" i="1" s="1"/>
  <c r="J622" i="1" s="1"/>
  <c r="H545" i="1"/>
  <c r="L534" i="1"/>
  <c r="G545" i="1"/>
  <c r="L529" i="1"/>
  <c r="K551" i="1"/>
  <c r="K552" i="1" s="1"/>
  <c r="J639" i="1"/>
  <c r="I661" i="1"/>
  <c r="C19" i="10"/>
  <c r="K338" i="1"/>
  <c r="K352" i="1" s="1"/>
  <c r="J338" i="1"/>
  <c r="J352" i="1" s="1"/>
  <c r="E128" i="2"/>
  <c r="L328" i="1"/>
  <c r="L338" i="1" s="1"/>
  <c r="L352" i="1" s="1"/>
  <c r="G633" i="1" s="1"/>
  <c r="J633" i="1" s="1"/>
  <c r="C13" i="10"/>
  <c r="E115" i="2"/>
  <c r="C12" i="10"/>
  <c r="C10" i="10"/>
  <c r="H25" i="13"/>
  <c r="C130" i="2"/>
  <c r="C29" i="10"/>
  <c r="H257" i="1"/>
  <c r="H271" i="1" s="1"/>
  <c r="D6" i="13"/>
  <c r="C6" i="13" s="1"/>
  <c r="C111" i="2"/>
  <c r="C15" i="10"/>
  <c r="C120" i="2"/>
  <c r="C128" i="2" s="1"/>
  <c r="C112" i="2"/>
  <c r="E8" i="13"/>
  <c r="C8" i="13" s="1"/>
  <c r="D7" i="13"/>
  <c r="C7" i="13" s="1"/>
  <c r="C16" i="10"/>
  <c r="D5" i="13"/>
  <c r="C5" i="13" s="1"/>
  <c r="L247" i="1"/>
  <c r="C110" i="2"/>
  <c r="C78" i="2"/>
  <c r="C81" i="2" s="1"/>
  <c r="F667" i="1"/>
  <c r="F112" i="1"/>
  <c r="C62" i="2"/>
  <c r="C56" i="2"/>
  <c r="C63" i="2" s="1"/>
  <c r="G625" i="1"/>
  <c r="J625" i="1" s="1"/>
  <c r="J623" i="1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C36" i="10"/>
  <c r="G63" i="2"/>
  <c r="G104" i="2" s="1"/>
  <c r="J618" i="1"/>
  <c r="G667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J652" i="1"/>
  <c r="J642" i="1"/>
  <c r="G571" i="1"/>
  <c r="I434" i="1"/>
  <c r="G434" i="1"/>
  <c r="E104" i="2"/>
  <c r="I663" i="1"/>
  <c r="C27" i="10"/>
  <c r="G635" i="1"/>
  <c r="J635" i="1" s="1"/>
  <c r="E33" i="13" l="1"/>
  <c r="D35" i="13" s="1"/>
  <c r="L545" i="1"/>
  <c r="H648" i="1"/>
  <c r="J648" i="1" s="1"/>
  <c r="E145" i="2"/>
  <c r="D31" i="13"/>
  <c r="C31" i="13" s="1"/>
  <c r="H660" i="1"/>
  <c r="H664" i="1" s="1"/>
  <c r="H672" i="1" s="1"/>
  <c r="C6" i="10" s="1"/>
  <c r="C25" i="13"/>
  <c r="H33" i="13"/>
  <c r="C144" i="2"/>
  <c r="C28" i="10"/>
  <c r="D24" i="10" s="1"/>
  <c r="C115" i="2"/>
  <c r="L257" i="1"/>
  <c r="L271" i="1" s="1"/>
  <c r="G632" i="1" s="1"/>
  <c r="J632" i="1" s="1"/>
  <c r="C145" i="2"/>
  <c r="C104" i="2"/>
  <c r="F193" i="1"/>
  <c r="G627" i="1" s="1"/>
  <c r="J627" i="1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D23" i="10"/>
  <c r="H667" i="1"/>
  <c r="I660" i="1"/>
  <c r="I664" i="1" s="1"/>
  <c r="I672" i="1" s="1"/>
  <c r="C7" i="10" s="1"/>
  <c r="D10" i="10"/>
  <c r="D26" i="10"/>
  <c r="C30" i="10"/>
  <c r="D16" i="10"/>
  <c r="D20" i="10"/>
  <c r="D15" i="10"/>
  <c r="D25" i="10"/>
  <c r="D19" i="10"/>
  <c r="D13" i="10"/>
  <c r="D11" i="10"/>
  <c r="D21" i="10"/>
  <c r="D22" i="10"/>
  <c r="D27" i="10"/>
  <c r="D18" i="10"/>
  <c r="D17" i="10"/>
  <c r="D12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<sst xmlns="http://schemas.openxmlformats.org/spreadsheetml/2006/main" count="3955" uniqueCount="913">
  <si>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</si>
  <si>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</si>
  <si>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</si>
  <si>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</si>
  <si>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</si>
  <si>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</si>
  <si>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</si>
  <si>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</si>
  <si>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</si>
  <si>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</si>
  <si>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</si>
  <si>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</si>
  <si>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</si>
  <si>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</si>
  <si>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</si>
  <si>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</si>
  <si>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</si>
  <si>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</si>
  <si>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</si>
  <si>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</si>
  <si>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</si>
  <si>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</si>
  <si>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</si>
  <si>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</si>
  <si>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</si>
  <si>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</si>
  <si>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</si>
  <si>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</si>
  <si>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</si>
  <si>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</si>
  <si>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</si>
  <si>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</si>
  <si>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</si>
  <si>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</si>
  <si>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</si>
  <si>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</si>
  <si>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</si>
  <si>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</si>
  <si>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</si>
  <si>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</si>
  <si>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</si>
  <si>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</si>
  <si>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</si>
  <si>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</si>
  <si>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</si>
  <si>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</si>
  <si>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</si>
  <si>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</si>
  <si>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</si>
  <si>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</si>
  <si>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</si>
  <si>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</si>
  <si>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</si>
  <si>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</si>
  <si>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</si>
  <si>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</si>
  <si>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</si>
  <si>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</si>
  <si>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</si>
  <si>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</si>
  <si>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</si>
  <si>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</si>
  <si>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</si>
  <si>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</si>
  <si>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</si>
  <si>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</si>
  <si>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</si>
  <si>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</si>
  <si>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</si>
  <si>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</si>
  <si>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</si>
  <si>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</si>
  <si>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</si>
  <si>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</si>
  <si>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</si>
  <si>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</si>
  <si>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</si>
  <si>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</si>
  <si>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</si>
  <si>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</si>
  <si>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</si>
  <si>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</si>
  <si>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</si>
  <si>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</si>
  <si>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</si>
  <si>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</si>
  <si>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</si>
  <si>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</si>
  <si>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</si>
  <si>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</si>
  <si>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</si>
  <si>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</si>
  <si>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</si>
  <si>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</si>
  <si>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</si>
  <si>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</si>
  <si>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</si>
  <si>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</si>
  <si>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</si>
  <si>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</si>
  <si>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</si>
  <si>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</si>
  <si>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</si>
  <si>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</si>
  <si>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</si>
  <si>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</si>
  <si>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</si>
  <si>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</si>
  <si>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</si>
  <si>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</si>
  <si>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</si>
  <si>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</si>
  <si>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</si>
  <si>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</si>
  <si>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</si>
  <si>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</si>
  <si>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</si>
  <si>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</si>
  <si>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</si>
  <si>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</si>
  <si>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</si>
  <si>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</si>
  <si>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</si>
  <si>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</si>
  <si>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</si>
  <si>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</si>
  <si>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</si>
  <si>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</si>
  <si>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</si>
  <si>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</si>
  <si>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</si>
  <si>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</si>
  <si>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</si>
  <si>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</si>
  <si>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</si>
  <si>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</si>
  <si>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</si>
  <si>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</si>
  <si>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</si>
  <si>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</si>
  <si>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</si>
  <si>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</si>
  <si>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</si>
  <si>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</si>
  <si>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</si>
  <si>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</si>
  <si>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</si>
  <si>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</si>
  <si>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</si>
  <si>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</si>
  <si>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</si>
  <si>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</si>
  <si>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</si>
  <si>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</si>
  <si>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</si>
  <si>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</si>
  <si>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</si>
  <si>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</si>
  <si>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</si>
  <si>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</si>
  <si>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</si>
  <si>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</si>
  <si>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</si>
  <si>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</si>
  <si>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</si>
  <si>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</si>
  <si>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</si>
  <si>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</si>
  <si>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</si>
  <si>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</si>
  <si>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</si>
  <si>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</si>
  <si>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</si>
  <si>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</si>
  <si>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</si>
  <si>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</si>
  <si>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</si>
  <si>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</si>
  <si>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</si>
  <si>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</si>
  <si>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</si>
  <si>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</si>
  <si>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</si>
  <si>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</si>
  <si>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</si>
  <si>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</si>
  <si>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</si>
  <si>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</si>
  <si>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</si>
  <si>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</si>
  <si>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</si>
  <si>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</si>
  <si>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</si>
  <si>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</si>
  <si>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</si>
  <si>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</si>
  <si>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</si>
  <si>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</si>
  <si>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</si>
  <si>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</si>
  <si>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</si>
  <si>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</si>
  <si>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</si>
  <si>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</si>
  <si>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</si>
  <si>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</si>
  <si>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</si>
  <si>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</si>
  <si>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</si>
  <si>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</si>
  <si>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</si>
  <si>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</si>
  <si>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</si>
  <si>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</si>
  <si>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</si>
  <si>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</si>
  <si>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</si>
  <si>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</si>
  <si>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</si>
  <si>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</si>
  <si>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</si>
  <si>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</si>
  <si>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</si>
  <si>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</si>
  <si>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</si>
  <si>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</si>
  <si>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</si>
  <si>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</si>
  <si>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</si>
  <si>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</si>
  <si>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</si>
  <si>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</si>
  <si>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</si>
  <si>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</si>
  <si>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</si>
  <si>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</si>
  <si>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</si>
  <si>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</si>
  <si>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</si>
  <si>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</si>
  <si>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</si>
  <si>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</si>
  <si>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</si>
  <si>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</si>
  <si>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</si>
  <si>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</si>
  <si>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</si>
  <si>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</si>
  <si>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</si>
  <si>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</si>
  <si>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</si>
  <si>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</si>
  <si>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</si>
  <si>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</si>
  <si>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</si>
  <si>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</si>
  <si>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</si>
  <si>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</si>
  <si>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</si>
  <si>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</si>
  <si>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</si>
  <si>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</si>
  <si>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</si>
  <si>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</si>
  <si>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</si>
  <si>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</si>
  <si>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</si>
  <si>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</si>
  <si>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</si>
  <si>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</si>
  <si>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</si>
  <si>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</si>
  <si>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</si>
  <si>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</si>
  <si>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</si>
  <si>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</si>
  <si>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</si>
  <si>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</si>
  <si>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</si>
  <si>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</si>
  <si>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</si>
  <si>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</si>
  <si>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</si>
  <si>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</si>
  <si>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</si>
  <si>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</si>
  <si>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</si>
  <si>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</si>
  <si>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</si>
  <si>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</si>
  <si>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</si>
  <si>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</si>
  <si>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</si>
  <si>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</si>
  <si>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</si>
  <si>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</si>
  <si>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</si>
  <si>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</si>
  <si>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</si>
  <si>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</si>
  <si>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</si>
  <si>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</si>
  <si>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</si>
  <si>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</si>
  <si>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</si>
  <si>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</si>
  <si>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</si>
  <si>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</si>
  <si>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</si>
  <si>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</si>
  <si>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</si>
  <si>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</si>
  <si>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</si>
  <si>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</si>
  <si>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</si>
  <si>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</si>
  <si>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</si>
  <si>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</si>
  <si>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</si>
  <si>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</si>
  <si>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</si>
  <si>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</si>
  <si>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</si>
  <si>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</si>
  <si>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</si>
  <si>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</si>
  <si>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</si>
  <si>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</si>
  <si>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</si>
  <si>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</si>
  <si>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</si>
  <si>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</si>
  <si>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</si>
  <si>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</si>
  <si>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</si>
  <si>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</si>
  <si>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</si>
  <si>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</si>
  <si>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</si>
  <si>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</si>
  <si>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</si>
  <si>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</si>
  <si>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</si>
  <si>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</si>
  <si>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</si>
  <si>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</si>
  <si>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</si>
  <si>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</si>
  <si>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</si>
  <si>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</si>
  <si>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</si>
  <si>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</si>
  <si>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</si>
  <si>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</si>
  <si>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</si>
  <si>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</si>
  <si>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</si>
  <si>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</si>
  <si>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</si>
  <si>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</si>
  <si>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</si>
  <si>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</si>
  <si>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</si>
  <si>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</si>
  <si>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</si>
  <si>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</si>
  <si>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</si>
  <si>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</si>
  <si>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</si>
  <si>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</si>
  <si>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</si>
  <si>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</si>
  <si>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</si>
  <si>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</si>
  <si>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</si>
  <si>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</si>
  <si>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</si>
  <si>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</si>
  <si>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</si>
  <si>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</si>
  <si>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</si>
  <si>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</si>
  <si>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</si>
  <si>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</si>
  <si>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</si>
  <si>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</si>
  <si>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</si>
  <si>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</si>
  <si>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</si>
  <si>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</si>
  <si>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</si>
  <si>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</si>
  <si>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</si>
  <si>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</si>
  <si>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</si>
  <si>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</si>
  <si>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</si>
  <si>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</si>
  <si>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</si>
  <si>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</si>
  <si>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</si>
  <si>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</si>
  <si>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</si>
  <si>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</si>
  <si>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</si>
  <si>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</si>
  <si>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</si>
  <si>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</si>
  <si>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</si>
  <si>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</si>
  <si>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</si>
  <si>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</si>
  <si>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</si>
  <si>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</si>
  <si>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</si>
  <si>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</si>
  <si>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</si>
  <si>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</si>
  <si>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</si>
  <si>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</si>
  <si>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</si>
  <si>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</si>
  <si>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</si>
  <si>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</si>
  <si>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</si>
  <si>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</si>
  <si>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</si>
  <si>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</si>
  <si>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</si>
  <si>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</si>
  <si>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</si>
  <si>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</si>
  <si>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</si>
  <si>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</si>
  <si>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</si>
  <si>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</si>
  <si>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</si>
  <si>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</si>
  <si>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</si>
  <si>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</si>
  <si>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</si>
  <si>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</si>
  <si>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</si>
  <si>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</si>
  <si>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</si>
  <si>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</si>
  <si>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</si>
  <si>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</si>
  <si>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</si>
  <si>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</si>
  <si>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</si>
  <si>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</si>
  <si>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</si>
  <si>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</si>
  <si>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</si>
  <si>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</si>
  <si>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</si>
  <si>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</si>
  <si>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</si>
  <si>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</si>
  <si>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</si>
  <si>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</si>
  <si>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</si>
  <si>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</si>
  <si>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</si>
  <si>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</si>
  <si>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</si>
  <si>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</si>
  <si>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</si>
  <si>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</si>
  <si>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</si>
  <si>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</si>
  <si>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</si>
  <si>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</si>
  <si>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</si>
  <si>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</si>
  <si>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</si>
  <si>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</si>
  <si>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</si>
  <si>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</si>
  <si>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</si>
  <si>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</si>
  <si>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</si>
  <si>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</si>
  <si>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</si>
  <si>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</si>
  <si>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</si>
  <si>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</si>
  <si>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</si>
  <si>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</si>
  <si>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</si>
  <si>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</si>
  <si>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</si>
  <si>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</si>
  <si>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</si>
  <si>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</si>
  <si>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</si>
  <si>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</si>
  <si>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</si>
  <si>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</si>
  <si>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</si>
  <si>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</si>
  <si>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</si>
  <si>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</si>
  <si>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</si>
  <si>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</si>
  <si>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</si>
  <si>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</si>
  <si>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</si>
  <si>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</si>
  <si>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</si>
  <si>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</si>
  <si>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</si>
  <si>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</si>
  <si>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</si>
  <si>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</si>
  <si>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</si>
  <si>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</si>
  <si>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</si>
  <si>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</si>
  <si>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</si>
  <si>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</si>
  <si>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</si>
  <si>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</si>
  <si>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</si>
  <si>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</si>
  <si>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</si>
  <si>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</si>
  <si>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</si>
  <si>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</si>
  <si>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</si>
  <si>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</si>
  <si>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</si>
  <si>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</si>
  <si>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</si>
  <si>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</si>
  <si>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</si>
  <si>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</si>
  <si>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</si>
  <si>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</si>
  <si>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</si>
  <si>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</si>
  <si>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</si>
  <si>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</si>
  <si>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</si>
  <si>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</si>
  <si>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</si>
  <si>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</si>
  <si>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</si>
  <si>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</si>
  <si>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</si>
  <si>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</si>
  <si>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</si>
  <si>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</si>
  <si>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</si>
  <si>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</si>
  <si>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</si>
  <si>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</si>
  <si>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</si>
  <si>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</si>
  <si>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</si>
  <si>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</si>
  <si>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</si>
  <si>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</si>
  <si>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</si>
  <si>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</si>
  <si>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</si>
  <si>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</si>
  <si>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</si>
  <si>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</si>
  <si>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</si>
  <si>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</si>
  <si>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</si>
  <si>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</si>
  <si>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</si>
  <si>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</si>
  <si>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</si>
  <si>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</si>
  <si>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</si>
  <si>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</si>
  <si>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</si>
  <si>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</si>
  <si>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</si>
  <si>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</si>
  <si>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</si>
  <si>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</si>
  <si>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</si>
  <si>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</si>
  <si>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</si>
  <si>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</si>
  <si>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</si>
  <si>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</si>
  <si>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</si>
  <si>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</si>
  <si>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</si>
  <si>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</si>
  <si>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</si>
  <si>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</si>
  <si>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</si>
  <si>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</si>
  <si>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</si>
  <si>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</si>
  <si>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</si>
  <si>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</si>
  <si>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</si>
  <si>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</si>
  <si>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</si>
  <si>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</si>
  <si>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</si>
  <si>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</si>
  <si>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</si>
  <si>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</si>
  <si>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</si>
  <si>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</si>
  <si>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</si>
  <si>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</si>
  <si>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</si>
  <si>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</si>
  <si>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</si>
  <si>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</si>
  <si>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</si>
  <si>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</si>
  <si>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</si>
  <si>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</si>
  <si>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</si>
  <si>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</si>
  <si>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</si>
  <si>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</si>
  <si>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</si>
  <si>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</si>
  <si>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</si>
  <si>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</si>
  <si>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</si>
  <si>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</si>
  <si>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</si>
  <si>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</si>
  <si>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</si>
  <si>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</si>
  <si>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</si>
  <si>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</si>
  <si>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</si>
  <si>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</si>
  <si>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</si>
  <si>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</si>
  <si>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</si>
  <si>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</si>
  <si>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</si>
  <si>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</si>
  <si>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</si>
  <si>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</si>
  <si>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</si>
  <si>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</si>
  <si>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</si>
  <si>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</si>
  <si>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</si>
  <si>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</si>
  <si>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</si>
  <si>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</si>
  <si>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</si>
  <si>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</si>
  <si>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</si>
  <si>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</si>
  <si>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</si>
  <si>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</si>
  <si>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</si>
  <si>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</si>
  <si>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</si>
  <si>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</si>
  <si>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</si>
  <si>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</si>
  <si>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</si>
  <si>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</si>
  <si>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</si>
  <si>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</si>
  <si>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</si>
  <si>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</si>
  <si>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</si>
  <si>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</si>
  <si>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</si>
  <si>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</si>
  <si>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</si>
  <si>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</si>
  <si>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</si>
  <si>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</si>
  <si>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</si>
  <si>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</si>
  <si>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</si>
  <si>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</si>
  <si>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</si>
  <si>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</si>
  <si>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</si>
  <si>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</si>
  <si>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</si>
  <si>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</si>
  <si>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</si>
  <si>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</si>
  <si>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</si>
  <si>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</si>
  <si>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</si>
  <si>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</si>
  <si>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</si>
  <si>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</si>
  <si>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</si>
  <si>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</si>
  <si>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</si>
  <si>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</si>
  <si>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</si>
  <si>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</si>
  <si>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</si>
  <si>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</si>
  <si>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</si>
  <si>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</si>
  <si>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</si>
  <si>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</si>
  <si>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</si>
  <si>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</si>
  <si>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</si>
  <si>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</si>
  <si>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</si>
  <si>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</si>
  <si>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</si>
  <si>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</si>
  <si>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</si>
  <si>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</si>
  <si>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</si>
  <si>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</si>
  <si>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</si>
  <si>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</si>
  <si>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</si>
  <si>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</si>
  <si>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</si>
  <si>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</si>
  <si>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</si>
  <si>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</si>
  <si>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</si>
  <si>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</si>
  <si>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</si>
  <si>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</si>
  <si>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</si>
  <si>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</si>
  <si>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</si>
  <si>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</si>
  <si>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</si>
  <si>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</si>
  <si>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</si>
  <si>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</si>
  <si>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</si>
  <si>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</si>
  <si>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</si>
  <si>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</si>
  <si>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</si>
  <si>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</si>
  <si>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</si>
  <si>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</si>
  <si>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</si>
  <si>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</si>
  <si>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</si>
  <si>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</si>
  <si>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</si>
  <si>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</si>
  <si>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</si>
  <si>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</si>
  <si>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</si>
  <si>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</si>
  <si>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</si>
  <si>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</si>
  <si>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</si>
  <si>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</si>
  <si>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</si>
  <si>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</si>
  <si>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</si>
  <si>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</si>
  <si>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</si>
  <si>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</si>
  <si>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</si>
  <si>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</si>
  <si>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</si>
  <si>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</si>
  <si>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</si>
  <si>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</si>
  <si>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</si>
  <si>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</si>
  <si>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</si>
  <si>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</si>
  <si>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</si>
  <si>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</si>
  <si>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</si>
  <si>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</si>
  <si>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</si>
  <si>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</si>
  <si>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</si>
  <si>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</si>
  <si>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</si>
  <si>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</si>
  <si>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</si>
  <si>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</si>
  <si>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</si>
  <si>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</si>
  <si>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</si>
  <si>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</si>
  <si>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</si>
  <si>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</si>
  <si>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</si>
  <si>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</si>
  <si>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</si>
  <si>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</si>
  <si>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</si>
  <si>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</si>
  <si>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</si>
  <si>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</si>
  <si>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</si>
  <si>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</si>
  <si>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</si>
  <si>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</si>
  <si>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</si>
  <si>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</si>
  <si>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</si>
  <si>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</si>
  <si>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</si>
  <si>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</si>
  <si>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</si>
  <si>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</si>
  <si>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</si>
  <si>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</si>
  <si>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</si>
  <si>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</si>
  <si>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</si>
  <si>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</si>
  <si>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</si>
  <si>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</si>
  <si>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</si>
  <si>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</si>
  <si>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</si>
  <si>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</si>
  <si>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</si>
  <si>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</si>
  <si>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</si>
  <si>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</si>
  <si>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</si>
  <si>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</si>
  <si>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</si>
  <si>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</si>
  <si>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</si>
  <si>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</si>
  <si>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</si>
  <si>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</si>
  <si>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</si>
  <si>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</si>
  <si>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</si>
  <si>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</si>
  <si>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</si>
  <si>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</si>
  <si>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</si>
  <si>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</si>
  <si>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</si>
  <si>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</si>
  <si>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</si>
  <si>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</si>
  <si>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</si>
  <si>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</si>
  <si>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</si>
  <si>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</si>
  <si>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</si>
  <si>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</si>
  <si>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</si>
  <si>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</si>
  <si>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</si>
  <si>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</si>
  <si>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</si>
  <si>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</si>
  <si>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</si>
  <si>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</si>
  <si>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</si>
  <si>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</si>
  <si>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</si>
  <si>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</si>
  <si>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</si>
  <si>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</si>
  <si>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</si>
  <si>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</si>
  <si>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</si>
  <si>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</si>
  <si>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</si>
  <si>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</si>
  <si>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</si>
  <si>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</si>
  <si>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</si>
  <si>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</si>
  <si>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</si>
  <si>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</si>
  <si>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</si>
  <si>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</si>
  <si>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</si>
  <si>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</si>
  <si>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</si>
  <si>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</si>
  <si>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</si>
  <si>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</si>
  <si>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</si>
  <si>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</si>
  <si>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</si>
  <si>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</si>
  <si>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</si>
  <si>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</si>
  <si>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</si>
  <si>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</si>
  <si>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</si>
  <si>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</si>
  <si>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</si>
  <si>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</si>
  <si>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</si>
  <si>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</si>
  <si>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Pemi-Baker Regional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</si>
</sst>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10" zoomScaleNormal="110" workbookViewId="0">
      <pane xSplit="5" ySplit="3" topLeftCell="F640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428</v>
      </c>
      <c r="C2" s="21">
        <v>0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1083231.25</v>
      </c>
      <c r="G9" s="18">
        <v>-55854.99</v>
      </c>
      <c r="H9" s="18">
        <v>-107369</v>
      </c>
      <c r="I9" s="18">
        <v>7638.72</v>
      </c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3342.14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>
        <v>24321.82</v>
      </c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58357.75</v>
      </c>
      <c r="G13" s="18">
        <v>52838.95</v>
      </c>
      <c r="H13" s="18">
        <v>120785.9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120.12</v>
      </c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120419.25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1262128.3700000001</v>
      </c>
      <c r="G19" s="41">
        <f>SUM(G9:G18)</f>
        <v>21305.78</v>
      </c>
      <c r="H19" s="41">
        <f>SUM(H9:H18)</f>
        <v>13416.899999999994</v>
      </c>
      <c r="I19" s="41">
        <f>SUM(I9:I18)</f>
        <v>7638.72</v>
      </c>
      <c r="J19" s="41">
        <f>SUM(J9:J18)</f>
        <v>3342.14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560107.66</v>
      </c>
      <c r="G24" s="18">
        <v>34</v>
      </c>
      <c r="H24" s="18">
        <v>13416.9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1220</v>
      </c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561327.66</v>
      </c>
      <c r="G32" s="41">
        <f>SUM(G22:G31)</f>
        <v>34</v>
      </c>
      <c r="H32" s="41">
        <f>SUM(H22:H31)</f>
        <v>13416.9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>
        <v>348007.04</v>
      </c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103680.16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>
        <v>21271.78</v>
      </c>
      <c r="H48" s="18"/>
      <c r="I48" s="18">
        <v>8173.72</v>
      </c>
      <c r="J48" s="13">
        <f>SUM(I459)</f>
        <v>3342.14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>
        <v>-535</v>
      </c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249113.51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700800.71</v>
      </c>
      <c r="G51" s="41">
        <f>SUM(G35:G50)</f>
        <v>21271.78</v>
      </c>
      <c r="H51" s="41">
        <f>SUM(H35:H50)</f>
        <v>0</v>
      </c>
      <c r="I51" s="41">
        <f>SUM(I35:I50)</f>
        <v>7638.72</v>
      </c>
      <c r="J51" s="41">
        <f>SUM(J35:J50)</f>
        <v>3342.14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1262128.3700000001</v>
      </c>
      <c r="G52" s="41">
        <f>G51+G32</f>
        <v>21305.78</v>
      </c>
      <c r="H52" s="41">
        <f>H51+H32</f>
        <v>13416.9</v>
      </c>
      <c r="I52" s="41">
        <f>I51+I32</f>
        <v>7638.72</v>
      </c>
      <c r="J52" s="41">
        <f>J51+J32</f>
        <v>3342.14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7683924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7683924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7702.45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405074.87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v>90520.12</v>
      </c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>
        <v>14173.11</v>
      </c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517470.55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723.14</v>
      </c>
      <c r="G96" s="18"/>
      <c r="H96" s="18"/>
      <c r="I96" s="18"/>
      <c r="J96" s="18">
        <v>22.6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171187.05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>
        <v>30000</v>
      </c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4946.0600000000004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79755.41</v>
      </c>
      <c r="G110" s="18">
        <v>52785.4</v>
      </c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115424.61</v>
      </c>
      <c r="G111" s="41">
        <f>SUM(G96:G110)</f>
        <v>223972.44999999998</v>
      </c>
      <c r="H111" s="41">
        <f>SUM(H96:H110)</f>
        <v>0</v>
      </c>
      <c r="I111" s="41">
        <f>SUM(I96:I110)</f>
        <v>0</v>
      </c>
      <c r="J111" s="41">
        <f>SUM(J96:J110)</f>
        <v>22.6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8316819.1600000001</v>
      </c>
      <c r="G112" s="41">
        <f>G60+G111</f>
        <v>223972.44999999998</v>
      </c>
      <c r="H112" s="41">
        <f>H60+H79+H94+H111</f>
        <v>0</v>
      </c>
      <c r="I112" s="41">
        <f>I60+I111</f>
        <v>0</v>
      </c>
      <c r="J112" s="41">
        <f>J60+J111</f>
        <v>22.6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2461507.21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1892038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4353545.21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232606.16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>
        <v>38767.230000000003</v>
      </c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3281.2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>
        <v>6114.66</v>
      </c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277488.05</v>
      </c>
      <c r="G136" s="41">
        <f>SUM(G123:G135)</f>
        <v>3281.2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4631033.26</v>
      </c>
      <c r="G140" s="41">
        <f>G121+SUM(G136:G137)</f>
        <v>3281.2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290699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55216.35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>
        <v>80198.009999999995</v>
      </c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>
        <v>7939.51</v>
      </c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102163.22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152104.16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152104.16</v>
      </c>
      <c r="G162" s="41">
        <f>SUM(G150:G161)</f>
        <v>102163.22</v>
      </c>
      <c r="H162" s="41">
        <f>SUM(H150:H161)</f>
        <v>434052.87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152104.16</v>
      </c>
      <c r="G169" s="41">
        <f>G147+G162+SUM(G163:G168)</f>
        <v>102163.22</v>
      </c>
      <c r="H169" s="41">
        <f>H147+H162+SUM(H163:H168)</f>
        <v>434052.87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/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13099956.58</v>
      </c>
      <c r="G193" s="47">
        <f>G112+G140+G169+G192</f>
        <v>329416.87</v>
      </c>
      <c r="H193" s="47">
        <f>H112+H140+H169+H192</f>
        <v>434052.87</v>
      </c>
      <c r="I193" s="47">
        <f>I112+I140+I169+I192</f>
        <v>0</v>
      </c>
      <c r="J193" s="47">
        <f>J112+J140+J192</f>
        <v>22.6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/>
      <c r="I208" s="18"/>
      <c r="J208" s="18"/>
      <c r="K208" s="18"/>
      <c r="L208" s="19">
        <f t="shared" si="0"/>
        <v>0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0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0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v>2875174.31</v>
      </c>
      <c r="G233" s="18">
        <v>1511132.2</v>
      </c>
      <c r="H233" s="18">
        <v>78374.320000000007</v>
      </c>
      <c r="I233" s="18">
        <v>108862.39</v>
      </c>
      <c r="J233" s="18">
        <v>114918.82</v>
      </c>
      <c r="K233" s="18">
        <v>727</v>
      </c>
      <c r="L233" s="19">
        <f>SUM(F233:K233)</f>
        <v>4689189.04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932066</v>
      </c>
      <c r="G234" s="18">
        <v>564484.05000000005</v>
      </c>
      <c r="H234" s="18">
        <v>1077119.76</v>
      </c>
      <c r="I234" s="18">
        <v>11048.88</v>
      </c>
      <c r="J234" s="18">
        <v>9211.99</v>
      </c>
      <c r="K234" s="18">
        <v>799</v>
      </c>
      <c r="L234" s="19">
        <f>SUM(F234:K234)</f>
        <v>2594729.6800000002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>
        <v>260502.74</v>
      </c>
      <c r="G235" s="18">
        <v>107366.57</v>
      </c>
      <c r="H235" s="18">
        <v>7261.21</v>
      </c>
      <c r="I235" s="18">
        <v>31740.97</v>
      </c>
      <c r="J235" s="18">
        <v>2553.4</v>
      </c>
      <c r="K235" s="18">
        <v>2766</v>
      </c>
      <c r="L235" s="19">
        <f>SUM(F235:K235)</f>
        <v>412190.89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250879.06</v>
      </c>
      <c r="G236" s="18">
        <v>49924.7</v>
      </c>
      <c r="H236" s="18">
        <v>104255.12</v>
      </c>
      <c r="I236" s="18">
        <v>44495.5</v>
      </c>
      <c r="J236" s="18">
        <v>35622.370000000003</v>
      </c>
      <c r="K236" s="18">
        <v>16159</v>
      </c>
      <c r="L236" s="19">
        <f>SUM(F236:K236)</f>
        <v>501335.75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576279.98</v>
      </c>
      <c r="G238" s="18">
        <v>267097.86</v>
      </c>
      <c r="H238" s="18">
        <v>235549.15</v>
      </c>
      <c r="I238" s="18">
        <v>5322.95</v>
      </c>
      <c r="J238" s="18"/>
      <c r="K238" s="18">
        <v>724</v>
      </c>
      <c r="L238" s="19">
        <f t="shared" ref="L238:L244" si="4">SUM(F238:K238)</f>
        <v>1084973.94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141407.32999999999</v>
      </c>
      <c r="G239" s="18">
        <v>138420.96</v>
      </c>
      <c r="H239" s="18">
        <v>1808.67</v>
      </c>
      <c r="I239" s="18">
        <v>37108.629999999997</v>
      </c>
      <c r="J239" s="18">
        <v>2971.94</v>
      </c>
      <c r="K239" s="18">
        <v>0</v>
      </c>
      <c r="L239" s="19">
        <f t="shared" si="4"/>
        <v>321717.52999999997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291232.44</v>
      </c>
      <c r="G240" s="18">
        <v>153713.46</v>
      </c>
      <c r="H240" s="18">
        <v>433498.95</v>
      </c>
      <c r="I240" s="18">
        <v>4435.04</v>
      </c>
      <c r="J240" s="18"/>
      <c r="K240" s="18">
        <v>4217.9799999999996</v>
      </c>
      <c r="L240" s="19">
        <f t="shared" si="4"/>
        <v>887097.87000000011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341144.2</v>
      </c>
      <c r="G241" s="18">
        <v>215010.11</v>
      </c>
      <c r="H241" s="18">
        <v>14946.06</v>
      </c>
      <c r="I241" s="18">
        <v>6761.77</v>
      </c>
      <c r="J241" s="18"/>
      <c r="K241" s="18">
        <v>14440.28</v>
      </c>
      <c r="L241" s="19">
        <f t="shared" si="4"/>
        <v>592302.42000000016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>
        <v>0</v>
      </c>
      <c r="G242" s="18">
        <v>0</v>
      </c>
      <c r="H242" s="18">
        <v>3503.29</v>
      </c>
      <c r="I242" s="18"/>
      <c r="J242" s="18"/>
      <c r="K242" s="18"/>
      <c r="L242" s="19">
        <f t="shared" si="4"/>
        <v>3503.29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443487.63</v>
      </c>
      <c r="G243" s="18">
        <v>210114.03</v>
      </c>
      <c r="H243" s="18">
        <v>373405.65</v>
      </c>
      <c r="I243" s="18">
        <v>288408.40000000002</v>
      </c>
      <c r="J243" s="18">
        <v>112275.54</v>
      </c>
      <c r="K243" s="18"/>
      <c r="L243" s="19">
        <f t="shared" si="4"/>
        <v>1427691.25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598730.56000000006</v>
      </c>
      <c r="I244" s="18"/>
      <c r="J244" s="18"/>
      <c r="K244" s="18"/>
      <c r="L244" s="19">
        <f t="shared" si="4"/>
        <v>598730.56000000006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6112173.6900000004</v>
      </c>
      <c r="G247" s="41">
        <f t="shared" si="5"/>
        <v>3217263.9399999995</v>
      </c>
      <c r="H247" s="41">
        <f t="shared" si="5"/>
        <v>2928452.74</v>
      </c>
      <c r="I247" s="41">
        <f t="shared" si="5"/>
        <v>538184.53</v>
      </c>
      <c r="J247" s="41">
        <f t="shared" si="5"/>
        <v>277554.06</v>
      </c>
      <c r="K247" s="41">
        <f t="shared" si="5"/>
        <v>39833.26</v>
      </c>
      <c r="L247" s="41">
        <f t="shared" si="5"/>
        <v>13113462.219999999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v>159256.35999999999</v>
      </c>
      <c r="I255" s="18"/>
      <c r="J255" s="18"/>
      <c r="K255" s="18"/>
      <c r="L255" s="19">
        <f t="shared" si="6"/>
        <v>159256.35999999999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159256.35999999999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159256.35999999999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6112173.6900000004</v>
      </c>
      <c r="G257" s="41">
        <f t="shared" si="8"/>
        <v>3217263.9399999995</v>
      </c>
      <c r="H257" s="41">
        <f t="shared" si="8"/>
        <v>3087709.1</v>
      </c>
      <c r="I257" s="41">
        <f t="shared" si="8"/>
        <v>538184.53</v>
      </c>
      <c r="J257" s="41">
        <f t="shared" si="8"/>
        <v>277554.06</v>
      </c>
      <c r="K257" s="41">
        <f t="shared" si="8"/>
        <v>39833.26</v>
      </c>
      <c r="L257" s="41">
        <f t="shared" si="8"/>
        <v>13272718.579999998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66178.45</v>
      </c>
      <c r="L260" s="19">
        <f>SUM(F260:K260)</f>
        <v>66178.45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82828.55</v>
      </c>
      <c r="L261" s="19">
        <f>SUM(F261:K261)</f>
        <v>82828.55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149007</v>
      </c>
      <c r="L270" s="41">
        <f t="shared" si="9"/>
        <v>149007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6112173.6900000004</v>
      </c>
      <c r="G271" s="42">
        <f t="shared" si="11"/>
        <v>3217263.9399999995</v>
      </c>
      <c r="H271" s="42">
        <f t="shared" si="11"/>
        <v>3087709.1</v>
      </c>
      <c r="I271" s="42">
        <f t="shared" si="11"/>
        <v>538184.53</v>
      </c>
      <c r="J271" s="42">
        <f t="shared" si="11"/>
        <v>277554.06</v>
      </c>
      <c r="K271" s="42">
        <f t="shared" si="11"/>
        <v>188840.26</v>
      </c>
      <c r="L271" s="42">
        <f t="shared" si="11"/>
        <v>13421725.579999998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>
        <v>115428.41</v>
      </c>
      <c r="G314" s="18">
        <v>56263.34</v>
      </c>
      <c r="H314" s="18">
        <v>4168.4799999999996</v>
      </c>
      <c r="I314" s="18">
        <v>41109.11</v>
      </c>
      <c r="J314" s="18">
        <v>33942.550000000003</v>
      </c>
      <c r="K314" s="18"/>
      <c r="L314" s="19">
        <f>SUM(F314:K314)</f>
        <v>250911.89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>
        <v>20456.91</v>
      </c>
      <c r="G316" s="18">
        <v>20669.87</v>
      </c>
      <c r="H316" s="18">
        <v>1154.01</v>
      </c>
      <c r="I316" s="18">
        <v>665</v>
      </c>
      <c r="J316" s="18">
        <v>28639.75</v>
      </c>
      <c r="K316" s="18">
        <v>6764.47</v>
      </c>
      <c r="L316" s="19">
        <f>SUM(F316:K316)</f>
        <v>78350.010000000009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>
        <v>16850</v>
      </c>
      <c r="G317" s="18">
        <v>3500.45</v>
      </c>
      <c r="H317" s="18"/>
      <c r="I317" s="18">
        <v>2456.9</v>
      </c>
      <c r="J317" s="18">
        <v>11084.75</v>
      </c>
      <c r="K317" s="18"/>
      <c r="L317" s="19">
        <f>SUM(F317:K317)</f>
        <v>33892.100000000006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>
        <v>6377.3</v>
      </c>
      <c r="G319" s="18">
        <v>2263.34</v>
      </c>
      <c r="H319" s="18"/>
      <c r="I319" s="18">
        <v>2320.9699999999998</v>
      </c>
      <c r="J319" s="18"/>
      <c r="K319" s="18"/>
      <c r="L319" s="19">
        <f t="shared" ref="L319:L325" si="16">SUM(F319:K319)</f>
        <v>10961.609999999999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>
        <v>19598.349999999999</v>
      </c>
      <c r="I320" s="18"/>
      <c r="J320" s="18"/>
      <c r="K320" s="18"/>
      <c r="L320" s="19">
        <f t="shared" si="16"/>
        <v>19598.349999999999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>
        <v>14477.54</v>
      </c>
      <c r="G321" s="18"/>
      <c r="H321" s="18">
        <v>7541.13</v>
      </c>
      <c r="I321" s="18"/>
      <c r="J321" s="18"/>
      <c r="K321" s="18">
        <v>2253.7600000000002</v>
      </c>
      <c r="L321" s="19">
        <f t="shared" si="16"/>
        <v>24272.43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>
        <v>14218.48</v>
      </c>
      <c r="L323" s="19">
        <f t="shared" si="16"/>
        <v>14218.48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>
        <v>1848</v>
      </c>
      <c r="I325" s="18"/>
      <c r="J325" s="18"/>
      <c r="K325" s="18"/>
      <c r="L325" s="19">
        <f t="shared" si="16"/>
        <v>1848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173590.16</v>
      </c>
      <c r="G328" s="42">
        <f t="shared" si="17"/>
        <v>82696.999999999985</v>
      </c>
      <c r="H328" s="42">
        <f t="shared" si="17"/>
        <v>34309.97</v>
      </c>
      <c r="I328" s="42">
        <f t="shared" si="17"/>
        <v>46551.98</v>
      </c>
      <c r="J328" s="42">
        <f t="shared" si="17"/>
        <v>73667.05</v>
      </c>
      <c r="K328" s="42">
        <f t="shared" si="17"/>
        <v>23236.71</v>
      </c>
      <c r="L328" s="41">
        <f t="shared" si="17"/>
        <v>434052.86999999994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173590.16</v>
      </c>
      <c r="G338" s="41">
        <f t="shared" si="20"/>
        <v>82696.999999999985</v>
      </c>
      <c r="H338" s="41">
        <f t="shared" si="20"/>
        <v>34309.97</v>
      </c>
      <c r="I338" s="41">
        <f t="shared" si="20"/>
        <v>46551.98</v>
      </c>
      <c r="J338" s="41">
        <f t="shared" si="20"/>
        <v>73667.05</v>
      </c>
      <c r="K338" s="41">
        <f t="shared" si="20"/>
        <v>23236.71</v>
      </c>
      <c r="L338" s="41">
        <f t="shared" si="20"/>
        <v>434052.86999999994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173590.16</v>
      </c>
      <c r="G352" s="41">
        <f>G338</f>
        <v>82696.999999999985</v>
      </c>
      <c r="H352" s="41">
        <f>H338</f>
        <v>34309.97</v>
      </c>
      <c r="I352" s="41">
        <f>I338</f>
        <v>46551.98</v>
      </c>
      <c r="J352" s="41">
        <f>J338</f>
        <v>73667.05</v>
      </c>
      <c r="K352" s="47">
        <f>K338+K351</f>
        <v>23236.71</v>
      </c>
      <c r="L352" s="41">
        <f>L338+L351</f>
        <v>434052.86999999994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>
        <v>329416.87</v>
      </c>
      <c r="I360" s="18"/>
      <c r="J360" s="18"/>
      <c r="K360" s="18"/>
      <c r="L360" s="19">
        <f>SUM(F360:K360)</f>
        <v>329416.87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329416.87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329416.87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/>
      <c r="H368" s="63"/>
      <c r="I368" s="56">
        <f>SUM(F368:H368)</f>
        <v>0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>
        <v>535</v>
      </c>
      <c r="K375" s="18"/>
      <c r="L375" s="13">
        <f t="shared" ref="L375:L381" si="23">SUM(F375:K375)</f>
        <v>535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535</v>
      </c>
      <c r="K382" s="47">
        <f t="shared" si="24"/>
        <v>0</v>
      </c>
      <c r="L382" s="47">
        <f t="shared" si="24"/>
        <v>535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>
        <v>11.03</v>
      </c>
      <c r="I389" s="18"/>
      <c r="J389" s="24" t="s">
        <v>288</v>
      </c>
      <c r="K389" s="24" t="s">
        <v>288</v>
      </c>
      <c r="L389" s="56">
        <f t="shared" si="25"/>
        <v>11.03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11.03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11.03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>
        <v>11.57</v>
      </c>
      <c r="I397" s="18"/>
      <c r="J397" s="24" t="s">
        <v>288</v>
      </c>
      <c r="K397" s="24" t="s">
        <v>288</v>
      </c>
      <c r="L397" s="56">
        <f t="shared" si="26"/>
        <v>11.57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11.57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11.57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22.6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22.6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>
        <v>3342.14</v>
      </c>
      <c r="G440" s="18"/>
      <c r="H440" s="18"/>
      <c r="I440" s="56">
        <f t="shared" si="33"/>
        <v>3342.14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3342.14</v>
      </c>
      <c r="G446" s="13">
        <f>SUM(G439:G445)</f>
        <v>0</v>
      </c>
      <c r="H446" s="13">
        <f>SUM(H439:H445)</f>
        <v>0</v>
      </c>
      <c r="I446" s="13">
        <f>SUM(I439:I445)</f>
        <v>3342.14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3342.14</v>
      </c>
      <c r="G459" s="18"/>
      <c r="H459" s="18"/>
      <c r="I459" s="56">
        <f t="shared" si="34"/>
        <v>3342.14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3342.14</v>
      </c>
      <c r="G460" s="83">
        <f>SUM(G454:G459)</f>
        <v>0</v>
      </c>
      <c r="H460" s="83">
        <f>SUM(H454:H459)</f>
        <v>0</v>
      </c>
      <c r="I460" s="83">
        <f>SUM(I454:I459)</f>
        <v>3342.14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3342.14</v>
      </c>
      <c r="G461" s="42">
        <f>G452+G460</f>
        <v>0</v>
      </c>
      <c r="H461" s="42">
        <f>H452+H460</f>
        <v>0</v>
      </c>
      <c r="I461" s="42">
        <f>I452+I460</f>
        <v>3342.14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1022569.71</v>
      </c>
      <c r="G465" s="18">
        <v>21271.78</v>
      </c>
      <c r="H465" s="18">
        <v>0</v>
      </c>
      <c r="I465" s="18">
        <v>8173.72</v>
      </c>
      <c r="J465" s="18">
        <v>3319.54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13099956.58</v>
      </c>
      <c r="G468" s="18">
        <v>329416.87</v>
      </c>
      <c r="H468" s="18">
        <v>434052.87</v>
      </c>
      <c r="I468" s="18"/>
      <c r="J468" s="18">
        <v>22.6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13099956.58</v>
      </c>
      <c r="G470" s="53">
        <f>SUM(G468:G469)</f>
        <v>329416.87</v>
      </c>
      <c r="H470" s="53">
        <f>SUM(H468:H469)</f>
        <v>434052.87</v>
      </c>
      <c r="I470" s="53">
        <f>SUM(I468:I469)</f>
        <v>0</v>
      </c>
      <c r="J470" s="53">
        <f>SUM(J468:J469)</f>
        <v>22.6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13421725.58</v>
      </c>
      <c r="G472" s="18">
        <v>329416.87</v>
      </c>
      <c r="H472" s="18">
        <v>434052.87</v>
      </c>
      <c r="I472" s="18">
        <v>535</v>
      </c>
      <c r="J472" s="18">
        <v>0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13421725.58</v>
      </c>
      <c r="G474" s="53">
        <f>SUM(G472:G473)</f>
        <v>329416.87</v>
      </c>
      <c r="H474" s="53">
        <f>SUM(H472:H473)</f>
        <v>434052.87</v>
      </c>
      <c r="I474" s="53">
        <f>SUM(I472:I473)</f>
        <v>535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700800.70999999903</v>
      </c>
      <c r="G476" s="53">
        <f>(G465+G470)- G474</f>
        <v>21271.780000000028</v>
      </c>
      <c r="H476" s="53">
        <f>(H465+H470)- H474</f>
        <v>0</v>
      </c>
      <c r="I476" s="53">
        <f>(I465+I470)- I474</f>
        <v>7638.72</v>
      </c>
      <c r="J476" s="53">
        <f>(J465+J470)- J474</f>
        <v>3342.14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932066</v>
      </c>
      <c r="G523" s="18">
        <v>564484.05000000005</v>
      </c>
      <c r="H523" s="18">
        <v>1077119.76</v>
      </c>
      <c r="I523" s="18">
        <v>11048.88</v>
      </c>
      <c r="J523" s="18">
        <v>9211.99</v>
      </c>
      <c r="K523" s="18">
        <v>799</v>
      </c>
      <c r="L523" s="88">
        <f>SUM(F523:K523)</f>
        <v>2594729.6800000002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932066</v>
      </c>
      <c r="G524" s="108">
        <f t="shared" ref="G524:L524" si="36">SUM(G521:G523)</f>
        <v>564484.05000000005</v>
      </c>
      <c r="H524" s="108">
        <f t="shared" si="36"/>
        <v>1077119.76</v>
      </c>
      <c r="I524" s="108">
        <f t="shared" si="36"/>
        <v>11048.88</v>
      </c>
      <c r="J524" s="108">
        <f t="shared" si="36"/>
        <v>9211.99</v>
      </c>
      <c r="K524" s="108">
        <f t="shared" si="36"/>
        <v>799</v>
      </c>
      <c r="L524" s="89">
        <f t="shared" si="36"/>
        <v>2594729.6800000002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v>170011.44</v>
      </c>
      <c r="G528" s="18">
        <v>72848.399999999994</v>
      </c>
      <c r="H528" s="18">
        <v>113599.97</v>
      </c>
      <c r="I528" s="18">
        <v>2610.2600000000002</v>
      </c>
      <c r="J528" s="18"/>
      <c r="K528" s="18">
        <v>130</v>
      </c>
      <c r="L528" s="88">
        <f>SUM(F528:K528)</f>
        <v>359200.07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170011.44</v>
      </c>
      <c r="G529" s="89">
        <f t="shared" ref="G529:L529" si="37">SUM(G526:G528)</f>
        <v>72848.399999999994</v>
      </c>
      <c r="H529" s="89">
        <f t="shared" si="37"/>
        <v>113599.97</v>
      </c>
      <c r="I529" s="89">
        <f t="shared" si="37"/>
        <v>2610.2600000000002</v>
      </c>
      <c r="J529" s="89">
        <f t="shared" si="37"/>
        <v>0</v>
      </c>
      <c r="K529" s="89">
        <f t="shared" si="37"/>
        <v>130</v>
      </c>
      <c r="L529" s="89">
        <f t="shared" si="37"/>
        <v>359200.07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36593.449999999997</v>
      </c>
      <c r="G533" s="18">
        <v>17574.52</v>
      </c>
      <c r="H533" s="18">
        <v>488.42</v>
      </c>
      <c r="I533" s="18"/>
      <c r="J533" s="18"/>
      <c r="K533" s="18"/>
      <c r="L533" s="88">
        <f>SUM(F533:K533)</f>
        <v>54656.39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36593.449999999997</v>
      </c>
      <c r="G534" s="89">
        <f t="shared" ref="G534:L534" si="38">SUM(G531:G533)</f>
        <v>17574.52</v>
      </c>
      <c r="H534" s="89">
        <f t="shared" si="38"/>
        <v>488.42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54656.39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>
        <v>2345.86</v>
      </c>
      <c r="I538" s="18"/>
      <c r="J538" s="18"/>
      <c r="K538" s="18"/>
      <c r="L538" s="88">
        <f>SUM(F538:K538)</f>
        <v>2345.86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2345.86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2345.86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138775.24</v>
      </c>
      <c r="I543" s="18"/>
      <c r="J543" s="18"/>
      <c r="K543" s="18"/>
      <c r="L543" s="88">
        <f>SUM(F543:K543)</f>
        <v>138775.24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138775.24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138775.24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1138670.8899999999</v>
      </c>
      <c r="G545" s="89">
        <f t="shared" ref="G545:L545" si="41">G524+G529+G534+G539+G544</f>
        <v>654906.97000000009</v>
      </c>
      <c r="H545" s="89">
        <f t="shared" si="41"/>
        <v>1332329.25</v>
      </c>
      <c r="I545" s="89">
        <f t="shared" si="41"/>
        <v>13659.14</v>
      </c>
      <c r="J545" s="89">
        <f t="shared" si="41"/>
        <v>9211.99</v>
      </c>
      <c r="K545" s="89">
        <f t="shared" si="41"/>
        <v>929</v>
      </c>
      <c r="L545" s="89">
        <f t="shared" si="41"/>
        <v>3149707.24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2594729.6800000002</v>
      </c>
      <c r="G551" s="87">
        <f>L528</f>
        <v>359200.07</v>
      </c>
      <c r="H551" s="87">
        <f>L533</f>
        <v>54656.39</v>
      </c>
      <c r="I551" s="87">
        <f>L538</f>
        <v>2345.86</v>
      </c>
      <c r="J551" s="87">
        <f>L543</f>
        <v>138775.24</v>
      </c>
      <c r="K551" s="87">
        <f>SUM(F551:J551)</f>
        <v>3149707.24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2594729.6800000002</v>
      </c>
      <c r="G552" s="89">
        <f t="shared" si="42"/>
        <v>359200.07</v>
      </c>
      <c r="H552" s="89">
        <f t="shared" si="42"/>
        <v>54656.39</v>
      </c>
      <c r="I552" s="89">
        <f t="shared" si="42"/>
        <v>2345.86</v>
      </c>
      <c r="J552" s="89">
        <f t="shared" si="42"/>
        <v>138775.24</v>
      </c>
      <c r="K552" s="89">
        <f t="shared" si="42"/>
        <v>3149707.24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>
        <v>325455.35999999999</v>
      </c>
      <c r="I579" s="87">
        <f t="shared" si="47"/>
        <v>325455.35999999999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>
        <v>417987.46</v>
      </c>
      <c r="I580" s="87">
        <f t="shared" si="47"/>
        <v>417987.46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>
        <v>190002.87</v>
      </c>
      <c r="I583" s="87">
        <f t="shared" si="47"/>
        <v>190002.87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/>
      <c r="I591" s="18"/>
      <c r="J591" s="18">
        <v>347983.53</v>
      </c>
      <c r="K591" s="104">
        <f t="shared" ref="K591:K597" si="48">SUM(H591:J591)</f>
        <v>347983.53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/>
      <c r="I592" s="18"/>
      <c r="J592" s="18">
        <v>138775.24</v>
      </c>
      <c r="K592" s="104">
        <f t="shared" si="48"/>
        <v>138775.24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>
        <v>77784.100000000006</v>
      </c>
      <c r="K594" s="104">
        <f t="shared" si="48"/>
        <v>77784.100000000006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/>
      <c r="I595" s="18"/>
      <c r="J595" s="18">
        <v>34187.69</v>
      </c>
      <c r="K595" s="104">
        <f t="shared" si="48"/>
        <v>34187.69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0</v>
      </c>
      <c r="I598" s="108">
        <f>SUM(I591:I597)</f>
        <v>0</v>
      </c>
      <c r="J598" s="108">
        <f>SUM(J591:J597)</f>
        <v>598730.56000000006</v>
      </c>
      <c r="K598" s="108">
        <f>SUM(K591:K597)</f>
        <v>598730.56000000006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/>
      <c r="I604" s="18"/>
      <c r="J604" s="18">
        <v>351221.11</v>
      </c>
      <c r="K604" s="104">
        <f>SUM(H604:J604)</f>
        <v>351221.11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351221.11</v>
      </c>
      <c r="K605" s="108">
        <f>SUM(K602:K604)</f>
        <v>351221.11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>
        <v>769.32</v>
      </c>
      <c r="J613" s="18"/>
      <c r="K613" s="18"/>
      <c r="L613" s="88">
        <f>SUM(F613:K613)</f>
        <v>769.32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769.32</v>
      </c>
      <c r="J614" s="108">
        <f t="shared" si="49"/>
        <v>0</v>
      </c>
      <c r="K614" s="108">
        <f t="shared" si="49"/>
        <v>0</v>
      </c>
      <c r="L614" s="89">
        <f t="shared" si="49"/>
        <v>769.32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1262128.3700000001</v>
      </c>
      <c r="H617" s="109">
        <f>SUM(F52)</f>
        <v>1262128.3700000001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21305.78</v>
      </c>
      <c r="H618" s="109">
        <f>SUM(G52)</f>
        <v>21305.78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13416.899999999994</v>
      </c>
      <c r="H619" s="109">
        <f>SUM(H52)</f>
        <v>13416.9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7638.72</v>
      </c>
      <c r="H620" s="109">
        <f>SUM(I52)</f>
        <v>7638.72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3342.14</v>
      </c>
      <c r="H621" s="109">
        <f>SUM(J52)</f>
        <v>3342.14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700800.71</v>
      </c>
      <c r="H622" s="109">
        <f>F476</f>
        <v>700800.70999999903</v>
      </c>
      <c r="I622" s="121" t="s">
        <v>101</v>
      </c>
      <c r="J622" s="109">
        <f t="shared" ref="J622:J655" si="50">G622-H622</f>
        <v>9.3132257461547852E-10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21271.78</v>
      </c>
      <c r="H623" s="109">
        <f>G476</f>
        <v>21271.780000000028</v>
      </c>
      <c r="I623" s="121" t="s">
        <v>102</v>
      </c>
      <c r="J623" s="109">
        <f t="shared" si="50"/>
        <v>-2.9103830456733704E-11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7638.72</v>
      </c>
      <c r="H625" s="109">
        <f>I476</f>
        <v>7638.72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3342.14</v>
      </c>
      <c r="H626" s="109">
        <f>J476</f>
        <v>3342.14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13099956.58</v>
      </c>
      <c r="H627" s="104">
        <f>SUM(F468)</f>
        <v>13099956.58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329416.87</v>
      </c>
      <c r="H628" s="104">
        <f>SUM(G468)</f>
        <v>329416.87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434052.87</v>
      </c>
      <c r="H629" s="104">
        <f>SUM(H468)</f>
        <v>434052.87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22.6</v>
      </c>
      <c r="H631" s="104">
        <f>SUM(J468)</f>
        <v>22.6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13421725.579999998</v>
      </c>
      <c r="H632" s="104">
        <f>SUM(F472)</f>
        <v>13421725.58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434052.86999999994</v>
      </c>
      <c r="H633" s="104">
        <f>SUM(H472)</f>
        <v>434052.87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329416.87</v>
      </c>
      <c r="H635" s="104">
        <f>SUM(G472)</f>
        <v>329416.87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535</v>
      </c>
      <c r="H636" s="104">
        <f>SUM(I472)</f>
        <v>535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22.6</v>
      </c>
      <c r="H637" s="164">
        <f>SUM(J468)</f>
        <v>22.6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3342.14</v>
      </c>
      <c r="H639" s="104">
        <f>SUM(F461)</f>
        <v>3342.14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3342.14</v>
      </c>
      <c r="H642" s="104">
        <f>SUM(I461)</f>
        <v>3342.14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22.6</v>
      </c>
      <c r="H644" s="104">
        <f>H408</f>
        <v>22.6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0</v>
      </c>
      <c r="H645" s="104">
        <f>G408</f>
        <v>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22.6</v>
      </c>
      <c r="H646" s="104">
        <f>L408</f>
        <v>22.6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598730.56000000006</v>
      </c>
      <c r="H647" s="104">
        <f>L208+L226+L244</f>
        <v>598730.56000000006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351221.11</v>
      </c>
      <c r="H648" s="104">
        <f>(J257+J338)-(J255+J336)</f>
        <v>351221.11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0</v>
      </c>
      <c r="H649" s="104">
        <f>H598</f>
        <v>0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598730.56000000006</v>
      </c>
      <c r="H651" s="104">
        <f>J598</f>
        <v>598730.56000000006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0</v>
      </c>
      <c r="H655" s="104">
        <f>K266+K347</f>
        <v>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0</v>
      </c>
      <c r="G660" s="19">
        <f>(L229+L309+L359)</f>
        <v>0</v>
      </c>
      <c r="H660" s="19">
        <f>(L247+L328+L360)</f>
        <v>13876931.959999997</v>
      </c>
      <c r="I660" s="19">
        <f>SUM(F660:H660)</f>
        <v>13876931.959999997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223972.44999999998</v>
      </c>
      <c r="I661" s="19">
        <f>SUM(F661:H661)</f>
        <v>223972.44999999998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0</v>
      </c>
      <c r="G662" s="19">
        <f>(L226+L306)-(J226+J306)</f>
        <v>0</v>
      </c>
      <c r="H662" s="19">
        <f>(L244+L325)-(J244+J325)</f>
        <v>600578.56000000006</v>
      </c>
      <c r="I662" s="19">
        <f>SUM(F662:H662)</f>
        <v>600578.56000000006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0</v>
      </c>
      <c r="G663" s="199">
        <f>SUM(G575:G587)+SUM(I602:I604)+L612</f>
        <v>0</v>
      </c>
      <c r="H663" s="199">
        <f>SUM(H575:H587)+SUM(J602:J604)+L613</f>
        <v>1285436.1200000001</v>
      </c>
      <c r="I663" s="19">
        <f>SUM(F663:H663)</f>
        <v>1285436.1200000001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0</v>
      </c>
      <c r="G664" s="19">
        <f>G660-SUM(G661:G663)</f>
        <v>0</v>
      </c>
      <c r="H664" s="19">
        <f>H660-SUM(H661:H663)</f>
        <v>11766944.829999998</v>
      </c>
      <c r="I664" s="19">
        <f>I660-SUM(I661:I663)</f>
        <v>11766944.829999998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>
        <v>659.19</v>
      </c>
      <c r="I665" s="19">
        <f>SUM(F665:H665)</f>
        <v>659.19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>
        <f>ROUND(H664/H665,2)</f>
        <v>17850.61</v>
      </c>
      <c r="I667" s="19">
        <f>ROUND(I664/I665,2)</f>
        <v>17850.61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3.44</v>
      </c>
      <c r="I670" s="19">
        <f>SUM(F670:H670)</f>
        <v>3.44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>
        <f>ROUND((H664+H669)/(H665+H670),2)</f>
        <v>17757.939999999999</v>
      </c>
      <c r="I672" s="19">
        <f>ROUND((I664+I669)/(I665+I670),2)</f>
        <v>17757.939999999999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37" sqref="B37: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Pemi-Baker Regional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2990602.72</v>
      </c>
      <c r="C9" s="229">
        <f>'DOE25'!G197+'DOE25'!G215+'DOE25'!G233+'DOE25'!G276+'DOE25'!G295+'DOE25'!G314</f>
        <v>1567395.54</v>
      </c>
    </row>
    <row r="10" spans="1:3" x14ac:dyDescent="0.2">
      <c r="A10" t="s">
        <v>778</v>
      </c>
      <c r="B10" s="240">
        <v>2855704.75</v>
      </c>
      <c r="C10" s="240">
        <v>1475973.39</v>
      </c>
    </row>
    <row r="11" spans="1:3" x14ac:dyDescent="0.2">
      <c r="A11" t="s">
        <v>779</v>
      </c>
      <c r="B11" s="240">
        <v>112707.91</v>
      </c>
      <c r="C11" s="240">
        <v>88567.71</v>
      </c>
    </row>
    <row r="12" spans="1:3" x14ac:dyDescent="0.2">
      <c r="A12" t="s">
        <v>780</v>
      </c>
      <c r="B12" s="240">
        <v>22190.06</v>
      </c>
      <c r="C12" s="240">
        <v>2854.44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2990602.72</v>
      </c>
      <c r="C13" s="231">
        <f>SUM(C10:C12)</f>
        <v>1567395.5399999998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932066</v>
      </c>
      <c r="C18" s="229">
        <f>'DOE25'!G198+'DOE25'!G216+'DOE25'!G234+'DOE25'!G277+'DOE25'!G296+'DOE25'!G315</f>
        <v>564484.05000000005</v>
      </c>
    </row>
    <row r="19" spans="1:3" x14ac:dyDescent="0.2">
      <c r="A19" t="s">
        <v>778</v>
      </c>
      <c r="B19" s="240">
        <v>502966.2</v>
      </c>
      <c r="C19" s="240">
        <v>255156.87</v>
      </c>
    </row>
    <row r="20" spans="1:3" x14ac:dyDescent="0.2">
      <c r="A20" t="s">
        <v>779</v>
      </c>
      <c r="B20" s="240">
        <v>368630.32</v>
      </c>
      <c r="C20" s="240">
        <v>271958.25</v>
      </c>
    </row>
    <row r="21" spans="1:3" x14ac:dyDescent="0.2">
      <c r="A21" t="s">
        <v>780</v>
      </c>
      <c r="B21" s="240">
        <v>60469.48</v>
      </c>
      <c r="C21" s="240">
        <v>37368.93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932066</v>
      </c>
      <c r="C22" s="231">
        <f>SUM(C19:C21)</f>
        <v>564484.05000000005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280959.64999999997</v>
      </c>
      <c r="C27" s="234">
        <f>'DOE25'!G199+'DOE25'!G217+'DOE25'!G235+'DOE25'!G278+'DOE25'!G297+'DOE25'!G316</f>
        <v>128036.44</v>
      </c>
    </row>
    <row r="28" spans="1:3" x14ac:dyDescent="0.2">
      <c r="A28" t="s">
        <v>778</v>
      </c>
      <c r="B28" s="240">
        <v>280959.65000000002</v>
      </c>
      <c r="C28" s="240">
        <v>128036.44</v>
      </c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280959.65000000002</v>
      </c>
      <c r="C31" s="231">
        <f>SUM(C28:C30)</f>
        <v>128036.44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267729.06</v>
      </c>
      <c r="C36" s="235">
        <f>'DOE25'!G200+'DOE25'!G218+'DOE25'!G236+'DOE25'!G279+'DOE25'!G298+'DOE25'!G317</f>
        <v>53425.149999999994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>
        <v>267729.06</v>
      </c>
      <c r="C39" s="240">
        <v>53425.15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267729.06</v>
      </c>
      <c r="C40" s="231">
        <f>SUM(C37:C39)</f>
        <v>53425.15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Pemi-Baker Regional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8197445.3600000003</v>
      </c>
      <c r="D5" s="20">
        <f>SUM('DOE25'!L197:L200)+SUM('DOE25'!L215:L218)+SUM('DOE25'!L233:L236)-F5-G5</f>
        <v>8014687.7800000003</v>
      </c>
      <c r="E5" s="243"/>
      <c r="F5" s="255">
        <f>SUM('DOE25'!J197:J200)+SUM('DOE25'!J215:J218)+SUM('DOE25'!J233:J236)</f>
        <v>162306.58000000002</v>
      </c>
      <c r="G5" s="53">
        <f>SUM('DOE25'!K197:K200)+SUM('DOE25'!K215:K218)+SUM('DOE25'!K233:K236)</f>
        <v>20451</v>
      </c>
      <c r="H5" s="259"/>
    </row>
    <row r="6" spans="1:9" x14ac:dyDescent="0.2">
      <c r="A6" s="32">
        <v>2100</v>
      </c>
      <c r="B6" t="s">
        <v>800</v>
      </c>
      <c r="C6" s="245">
        <f t="shared" si="0"/>
        <v>1084973.94</v>
      </c>
      <c r="D6" s="20">
        <f>'DOE25'!L202+'DOE25'!L220+'DOE25'!L238-F6-G6</f>
        <v>1084249.94</v>
      </c>
      <c r="E6" s="243"/>
      <c r="F6" s="255">
        <f>'DOE25'!J202+'DOE25'!J220+'DOE25'!J238</f>
        <v>0</v>
      </c>
      <c r="G6" s="53">
        <f>'DOE25'!K202+'DOE25'!K220+'DOE25'!K238</f>
        <v>724</v>
      </c>
      <c r="H6" s="259"/>
    </row>
    <row r="7" spans="1:9" x14ac:dyDescent="0.2">
      <c r="A7" s="32">
        <v>2200</v>
      </c>
      <c r="B7" t="s">
        <v>833</v>
      </c>
      <c r="C7" s="245">
        <f t="shared" si="0"/>
        <v>321717.52999999997</v>
      </c>
      <c r="D7" s="20">
        <f>'DOE25'!L203+'DOE25'!L221+'DOE25'!L239-F7-G7</f>
        <v>318745.58999999997</v>
      </c>
      <c r="E7" s="243"/>
      <c r="F7" s="255">
        <f>'DOE25'!J203+'DOE25'!J221+'DOE25'!J239</f>
        <v>2971.94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688112.58000000007</v>
      </c>
      <c r="D8" s="243"/>
      <c r="E8" s="20">
        <f>'DOE25'!L204+'DOE25'!L222+'DOE25'!L240-F8-G8-D9-D11</f>
        <v>683894.60000000009</v>
      </c>
      <c r="F8" s="255">
        <f>'DOE25'!J204+'DOE25'!J222+'DOE25'!J240</f>
        <v>0</v>
      </c>
      <c r="G8" s="53">
        <f>'DOE25'!K204+'DOE25'!K222+'DOE25'!K240</f>
        <v>4217.9799999999996</v>
      </c>
      <c r="H8" s="259"/>
    </row>
    <row r="9" spans="1:9" x14ac:dyDescent="0.2">
      <c r="A9" s="32">
        <v>2310</v>
      </c>
      <c r="B9" t="s">
        <v>817</v>
      </c>
      <c r="C9" s="245">
        <f t="shared" si="0"/>
        <v>38861.24</v>
      </c>
      <c r="D9" s="244">
        <v>38861.24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7000</v>
      </c>
      <c r="D10" s="243"/>
      <c r="E10" s="244">
        <v>7000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160124.04999999999</v>
      </c>
      <c r="D11" s="244">
        <v>160124.04999999999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592302.42000000016</v>
      </c>
      <c r="D12" s="20">
        <f>'DOE25'!L205+'DOE25'!L223+'DOE25'!L241-F12-G12</f>
        <v>577862.14000000013</v>
      </c>
      <c r="E12" s="243"/>
      <c r="F12" s="255">
        <f>'DOE25'!J205+'DOE25'!J223+'DOE25'!J241</f>
        <v>0</v>
      </c>
      <c r="G12" s="53">
        <f>'DOE25'!K205+'DOE25'!K223+'DOE25'!K241</f>
        <v>14440.28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3503.29</v>
      </c>
      <c r="D13" s="243"/>
      <c r="E13" s="20">
        <f>'DOE25'!L206+'DOE25'!L224+'DOE25'!L242-F13-G13</f>
        <v>3503.29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1427691.25</v>
      </c>
      <c r="D14" s="20">
        <f>'DOE25'!L207+'DOE25'!L225+'DOE25'!L243-F14-G14</f>
        <v>1315415.71</v>
      </c>
      <c r="E14" s="243"/>
      <c r="F14" s="255">
        <f>'DOE25'!J207+'DOE25'!J225+'DOE25'!J243</f>
        <v>112275.54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598730.56000000006</v>
      </c>
      <c r="D15" s="20">
        <f>'DOE25'!L208+'DOE25'!L226+'DOE25'!L244-F15-G15</f>
        <v>598730.56000000006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159256.35999999999</v>
      </c>
      <c r="D22" s="243"/>
      <c r="E22" s="243"/>
      <c r="F22" s="255">
        <f>'DOE25'!L255+'DOE25'!L336</f>
        <v>159256.35999999999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149007</v>
      </c>
      <c r="D25" s="243"/>
      <c r="E25" s="243"/>
      <c r="F25" s="258"/>
      <c r="G25" s="256"/>
      <c r="H25" s="257">
        <f>'DOE25'!L260+'DOE25'!L261+'DOE25'!L341+'DOE25'!L342</f>
        <v>149007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329416.87</v>
      </c>
      <c r="D29" s="20">
        <f>'DOE25'!L358+'DOE25'!L359+'DOE25'!L360-'DOE25'!I367-F29-G29</f>
        <v>329416.87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434052.86999999994</v>
      </c>
      <c r="D31" s="20">
        <f>'DOE25'!L290+'DOE25'!L309+'DOE25'!L328+'DOE25'!L333+'DOE25'!L334+'DOE25'!L335-F31-G31</f>
        <v>337149.10999999993</v>
      </c>
      <c r="E31" s="243"/>
      <c r="F31" s="255">
        <f>'DOE25'!J290+'DOE25'!J309+'DOE25'!J328+'DOE25'!J333+'DOE25'!J334+'DOE25'!J335</f>
        <v>73667.05</v>
      </c>
      <c r="G31" s="53">
        <f>'DOE25'!K290+'DOE25'!K309+'DOE25'!K328+'DOE25'!K333+'DOE25'!K334+'DOE25'!K335</f>
        <v>23236.71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12775242.990000002</v>
      </c>
      <c r="E33" s="246">
        <f>SUM(E5:E31)</f>
        <v>694397.89000000013</v>
      </c>
      <c r="F33" s="246">
        <f>SUM(F5:F31)</f>
        <v>510477.47</v>
      </c>
      <c r="G33" s="246">
        <f>SUM(G5:G31)</f>
        <v>63069.97</v>
      </c>
      <c r="H33" s="246">
        <f>SUM(H5:H31)</f>
        <v>149007</v>
      </c>
    </row>
    <row r="35" spans="2:8" ht="12" thickBot="1" x14ac:dyDescent="0.25">
      <c r="B35" s="253" t="s">
        <v>846</v>
      </c>
      <c r="D35" s="254">
        <f>E33</f>
        <v>694397.89000000013</v>
      </c>
      <c r="E35" s="249"/>
    </row>
    <row r="36" spans="2:8" ht="12" thickTop="1" x14ac:dyDescent="0.2">
      <c r="B36" t="s">
        <v>814</v>
      </c>
      <c r="D36" s="20">
        <f>D33</f>
        <v>12775242.990000002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Pemi-Baker Regional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1083231.25</v>
      </c>
      <c r="D8" s="95">
        <f>'DOE25'!G9</f>
        <v>-55854.99</v>
      </c>
      <c r="E8" s="95">
        <f>'DOE25'!H9</f>
        <v>-107369</v>
      </c>
      <c r="F8" s="95">
        <f>'DOE25'!I9</f>
        <v>7638.72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3342.14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24321.82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58357.75</v>
      </c>
      <c r="D12" s="95">
        <f>'DOE25'!G13</f>
        <v>52838.95</v>
      </c>
      <c r="E12" s="95">
        <f>'DOE25'!H13</f>
        <v>120785.9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120.12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120419.25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1262128.3700000001</v>
      </c>
      <c r="D18" s="41">
        <f>SUM(D8:D17)</f>
        <v>21305.78</v>
      </c>
      <c r="E18" s="41">
        <f>SUM(E8:E17)</f>
        <v>13416.899999999994</v>
      </c>
      <c r="F18" s="41">
        <f>SUM(F8:F17)</f>
        <v>7638.72</v>
      </c>
      <c r="G18" s="41">
        <f>SUM(G8:G17)</f>
        <v>3342.14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560107.66</v>
      </c>
      <c r="D23" s="95">
        <f>'DOE25'!G24</f>
        <v>34</v>
      </c>
      <c r="E23" s="95">
        <f>'DOE25'!H24</f>
        <v>13416.9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1220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561327.66</v>
      </c>
      <c r="D31" s="41">
        <f>SUM(D21:D30)</f>
        <v>34</v>
      </c>
      <c r="E31" s="41">
        <f>SUM(E21:E30)</f>
        <v>13416.9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348007.04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103680.16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21271.78</v>
      </c>
      <c r="E47" s="95">
        <f>'DOE25'!H48</f>
        <v>0</v>
      </c>
      <c r="F47" s="95">
        <f>'DOE25'!I48</f>
        <v>8173.72</v>
      </c>
      <c r="G47" s="95">
        <f>'DOE25'!J48</f>
        <v>3342.14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-535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249113.51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700800.71</v>
      </c>
      <c r="D50" s="41">
        <f>SUM(D34:D49)</f>
        <v>21271.78</v>
      </c>
      <c r="E50" s="41">
        <f>SUM(E34:E49)</f>
        <v>0</v>
      </c>
      <c r="F50" s="41">
        <f>SUM(F34:F49)</f>
        <v>7638.72</v>
      </c>
      <c r="G50" s="41">
        <f>SUM(G34:G49)</f>
        <v>3342.14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1262128.3700000001</v>
      </c>
      <c r="D51" s="41">
        <f>D50+D31</f>
        <v>21305.78</v>
      </c>
      <c r="E51" s="41">
        <f>E50+E31</f>
        <v>13416.9</v>
      </c>
      <c r="F51" s="41">
        <f>F50+F31</f>
        <v>7638.72</v>
      </c>
      <c r="G51" s="41">
        <f>G50+G31</f>
        <v>3342.14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7683924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517470.55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723.14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22.6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171187.05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114701.47</v>
      </c>
      <c r="D61" s="95">
        <f>SUM('DOE25'!G98:G110)</f>
        <v>52785.4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632895.16</v>
      </c>
      <c r="D62" s="130">
        <f>SUM(D57:D61)</f>
        <v>223972.44999999998</v>
      </c>
      <c r="E62" s="130">
        <f>SUM(E57:E61)</f>
        <v>0</v>
      </c>
      <c r="F62" s="130">
        <f>SUM(F57:F61)</f>
        <v>0</v>
      </c>
      <c r="G62" s="130">
        <f>SUM(G57:G61)</f>
        <v>22.6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8316819.1600000001</v>
      </c>
      <c r="D63" s="22">
        <f>D56+D62</f>
        <v>223972.44999999998</v>
      </c>
      <c r="E63" s="22">
        <f>E56+E62</f>
        <v>0</v>
      </c>
      <c r="F63" s="22">
        <f>F56+F62</f>
        <v>0</v>
      </c>
      <c r="G63" s="22">
        <f>G56+G62</f>
        <v>22.6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2461507.21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1892038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4353545.21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232606.16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38767.230000000003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6114.66</v>
      </c>
      <c r="D77" s="95">
        <f>SUM('DOE25'!G131:G135)</f>
        <v>3281.2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277488.05</v>
      </c>
      <c r="D78" s="130">
        <f>SUM(D72:D77)</f>
        <v>3281.2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4631033.26</v>
      </c>
      <c r="D81" s="130">
        <f>SUM(D79:D80)+D78+D70</f>
        <v>3281.2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152104.16</v>
      </c>
      <c r="D88" s="95">
        <f>SUM('DOE25'!G153:G161)</f>
        <v>102163.22</v>
      </c>
      <c r="E88" s="95">
        <f>SUM('DOE25'!H153:H161)</f>
        <v>434052.87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152104.16</v>
      </c>
      <c r="D91" s="131">
        <f>SUM(D85:D90)</f>
        <v>102163.22</v>
      </c>
      <c r="E91" s="131">
        <f>SUM(E85:E90)</f>
        <v>434052.87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764</v>
      </c>
      <c r="C104" s="86">
        <f>C63+C81+C91+C103</f>
        <v>13099956.58</v>
      </c>
      <c r="D104" s="86">
        <f>D63+D81+D91+D103</f>
        <v>329416.87</v>
      </c>
      <c r="E104" s="86">
        <f>E63+E81+E91+E103</f>
        <v>434052.87</v>
      </c>
      <c r="F104" s="86">
        <f>F63+F81+F91+F103</f>
        <v>0</v>
      </c>
      <c r="G104" s="86">
        <f>G63+G81+G103</f>
        <v>22.6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4689189.04</v>
      </c>
      <c r="D109" s="24" t="s">
        <v>288</v>
      </c>
      <c r="E109" s="95">
        <f>('DOE25'!L276)+('DOE25'!L295)+('DOE25'!L314)</f>
        <v>250911.89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2594729.6800000002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412190.89</v>
      </c>
      <c r="D111" s="24" t="s">
        <v>288</v>
      </c>
      <c r="E111" s="95">
        <f>('DOE25'!L278)+('DOE25'!L297)+('DOE25'!L316)</f>
        <v>78350.010000000009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501335.75</v>
      </c>
      <c r="D112" s="24" t="s">
        <v>288</v>
      </c>
      <c r="E112" s="95">
        <f>+('DOE25'!L279)+('DOE25'!L298)+('DOE25'!L317)</f>
        <v>33892.100000000006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8197445.3600000003</v>
      </c>
      <c r="D115" s="86">
        <f>SUM(D109:D114)</f>
        <v>0</v>
      </c>
      <c r="E115" s="86">
        <f>SUM(E109:E114)</f>
        <v>363154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1084973.94</v>
      </c>
      <c r="D118" s="24" t="s">
        <v>288</v>
      </c>
      <c r="E118" s="95">
        <f>+('DOE25'!L281)+('DOE25'!L300)+('DOE25'!L319)</f>
        <v>10961.609999999999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321717.52999999997</v>
      </c>
      <c r="D119" s="24" t="s">
        <v>288</v>
      </c>
      <c r="E119" s="95">
        <f>+('DOE25'!L282)+('DOE25'!L301)+('DOE25'!L320)</f>
        <v>19598.349999999999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887097.87000000011</v>
      </c>
      <c r="D120" s="24" t="s">
        <v>288</v>
      </c>
      <c r="E120" s="95">
        <f>+('DOE25'!L283)+('DOE25'!L302)+('DOE25'!L321)</f>
        <v>24272.43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592302.42000000016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3503.29</v>
      </c>
      <c r="D122" s="24" t="s">
        <v>288</v>
      </c>
      <c r="E122" s="95">
        <f>+('DOE25'!L285)+('DOE25'!L304)+('DOE25'!L323)</f>
        <v>14218.48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1427691.25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598730.56000000006</v>
      </c>
      <c r="D124" s="24" t="s">
        <v>288</v>
      </c>
      <c r="E124" s="95">
        <f>+('DOE25'!L287)+('DOE25'!L306)+('DOE25'!L325)</f>
        <v>1848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329416.87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4916016.8599999994</v>
      </c>
      <c r="D128" s="86">
        <f>SUM(D118:D127)</f>
        <v>329416.87</v>
      </c>
      <c r="E128" s="86">
        <f>SUM(E118:E127)</f>
        <v>70898.87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159256.35999999999</v>
      </c>
      <c r="D130" s="24" t="s">
        <v>288</v>
      </c>
      <c r="E130" s="129">
        <f>'DOE25'!L336</f>
        <v>0</v>
      </c>
      <c r="F130" s="129">
        <f>SUM('DOE25'!L374:'DOE25'!L380)</f>
        <v>535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66178.45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82828.55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11.03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11.57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-22.6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308263.36000000004</v>
      </c>
      <c r="D144" s="141">
        <f>SUM(D130:D143)</f>
        <v>0</v>
      </c>
      <c r="E144" s="141">
        <f>SUM(E130:E143)</f>
        <v>0</v>
      </c>
      <c r="F144" s="141">
        <f>SUM(F130:F143)</f>
        <v>535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13421725.579999998</v>
      </c>
      <c r="D145" s="86">
        <f>(D115+D128+D144)</f>
        <v>329416.87</v>
      </c>
      <c r="E145" s="86">
        <f>(E115+E128+E144)</f>
        <v>434052.87</v>
      </c>
      <c r="F145" s="86">
        <f>(F115+F128+F144)</f>
        <v>535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Pemi-Baker Regional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17758</v>
      </c>
    </row>
    <row r="7" spans="1:4" x14ac:dyDescent="0.2">
      <c r="B7" t="s">
        <v>704</v>
      </c>
      <c r="C7" s="179">
        <f>IF('DOE25'!I665+'DOE25'!I670=0,0,ROUND('DOE25'!I672,0))</f>
        <v>17758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4940101</v>
      </c>
      <c r="D10" s="182">
        <f>ROUND((C10/$C$28)*100,1)</f>
        <v>36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2594730</v>
      </c>
      <c r="D11" s="182">
        <f>ROUND((C11/$C$28)*100,1)</f>
        <v>18.899999999999999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490541</v>
      </c>
      <c r="D12" s="182">
        <f>ROUND((C12/$C$28)*100,1)</f>
        <v>3.6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535228</v>
      </c>
      <c r="D13" s="182">
        <f>ROUND((C13/$C$28)*100,1)</f>
        <v>3.9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1095936</v>
      </c>
      <c r="D15" s="182">
        <f t="shared" ref="D15:D27" si="0">ROUND((C15/$C$28)*100,1)</f>
        <v>8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341316</v>
      </c>
      <c r="D16" s="182">
        <f t="shared" si="0"/>
        <v>2.5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911370</v>
      </c>
      <c r="D17" s="182">
        <f t="shared" si="0"/>
        <v>6.6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592302</v>
      </c>
      <c r="D18" s="182">
        <f t="shared" si="0"/>
        <v>4.3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17722</v>
      </c>
      <c r="D19" s="182">
        <f t="shared" si="0"/>
        <v>0.1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1427691</v>
      </c>
      <c r="D20" s="182">
        <f t="shared" si="0"/>
        <v>10.4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600579</v>
      </c>
      <c r="D21" s="182">
        <f t="shared" si="0"/>
        <v>4.4000000000000004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82829</v>
      </c>
      <c r="D25" s="182">
        <f t="shared" si="0"/>
        <v>0.6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105444.55000000002</v>
      </c>
      <c r="D27" s="182">
        <f t="shared" si="0"/>
        <v>0.8</v>
      </c>
    </row>
    <row r="28" spans="1:4" x14ac:dyDescent="0.2">
      <c r="B28" s="187" t="s">
        <v>722</v>
      </c>
      <c r="C28" s="180">
        <f>SUM(C10:C27)</f>
        <v>13735789.550000001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159791</v>
      </c>
    </row>
    <row r="30" spans="1:4" x14ac:dyDescent="0.2">
      <c r="B30" s="187" t="s">
        <v>728</v>
      </c>
      <c r="C30" s="180">
        <f>SUM(C28:C29)</f>
        <v>13895580.550000001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66178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7683924</v>
      </c>
      <c r="D35" s="182">
        <f t="shared" ref="D35:D40" si="1">ROUND((C35/$C$41)*100,1)</f>
        <v>56.3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632917.75999999885</v>
      </c>
      <c r="D36" s="182">
        <f t="shared" si="1"/>
        <v>4.5999999999999996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4353545</v>
      </c>
      <c r="D37" s="182">
        <f t="shared" si="1"/>
        <v>31.9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280769</v>
      </c>
      <c r="D38" s="182">
        <f t="shared" si="1"/>
        <v>2.1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688320</v>
      </c>
      <c r="D39" s="182">
        <f t="shared" si="1"/>
        <v>5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13639475.759999998</v>
      </c>
      <c r="D41" s="184">
        <f>SUM(D35:D40)</f>
        <v>99.899999999999991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Pemi-Baker Regional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2017-08-22T19:33:13Z</cp:lastPrinted>
  <dcterms:created xsi:type="dcterms:W3CDTF">1997-12-04T19:04:30Z</dcterms:created>
  <dcterms:modified xsi:type="dcterms:W3CDTF">2017-11-29T17:59:51Z</dcterms:modified>
</cp:coreProperties>
</file>